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820" windowWidth="11388" windowHeight="9000"/>
  </bookViews>
  <sheets>
    <sheet name="Раздел 1" sheetId="4" r:id="rId1"/>
    <sheet name="Раздел 2" sheetId="5" r:id="rId2"/>
    <sheet name="обоснование расходов" sheetId="6" r:id="rId3"/>
    <sheet name="обоснование доходов" sheetId="7" r:id="rId4"/>
  </sheets>
  <definedNames>
    <definedName name="_xlnm._FilterDatabase" localSheetId="2" hidden="1">'обоснование расходов'!$M$83:$M$247</definedName>
    <definedName name="_xlnm._FilterDatabase" localSheetId="0" hidden="1">'Раздел 1'!$A$83:$E$204</definedName>
    <definedName name="TABLE" localSheetId="0">'Раздел 1'!#REF!</definedName>
    <definedName name="TABLE" localSheetId="1">'Раздел 2'!#REF!</definedName>
    <definedName name="TABLE_2" localSheetId="0">'Раздел 1'!#REF!</definedName>
    <definedName name="TABLE_2" localSheetId="1">'Раздел 2'!#REF!</definedName>
    <definedName name="_xlnm.Print_Titles" localSheetId="0">'Раздел 1'!$28:$31</definedName>
    <definedName name="_xlnm.Print_Titles" localSheetId="1">'Раздел 2'!$3:$6</definedName>
    <definedName name="_xlnm.Print_Area" localSheetId="2">'обоснование расходов'!$A$1:$L$247</definedName>
    <definedName name="_xlnm.Print_Area" localSheetId="0">'Раздел 1'!$A$1:$I$205</definedName>
    <definedName name="_xlnm.Print_Area" localSheetId="1">'Раздел 2'!$A$1:$J$58</definedName>
  </definedNames>
  <calcPr calcId="145621" fullCalcOnLoad="1" refMode="R1C1"/>
</workbook>
</file>

<file path=xl/calcChain.xml><?xml version="1.0" encoding="utf-8"?>
<calcChain xmlns="http://schemas.openxmlformats.org/spreadsheetml/2006/main">
  <c r="I30" i="5" l="1"/>
  <c r="H30" i="5"/>
  <c r="G30" i="5"/>
  <c r="G20" i="5"/>
  <c r="I17" i="5"/>
  <c r="H17" i="5"/>
  <c r="G17" i="5"/>
  <c r="G143" i="4"/>
  <c r="H143" i="4"/>
  <c r="J240" i="6"/>
  <c r="J236" i="6"/>
  <c r="J213" i="6"/>
  <c r="J188" i="6"/>
  <c r="J151" i="6"/>
  <c r="F151" i="6"/>
  <c r="F187" i="4"/>
  <c r="F181" i="4"/>
  <c r="F168" i="4"/>
  <c r="F164" i="4"/>
  <c r="F193" i="4"/>
  <c r="G88" i="4"/>
  <c r="G87" i="4"/>
  <c r="H88" i="4"/>
  <c r="H87" i="4"/>
  <c r="G201" i="6"/>
  <c r="G200" i="6"/>
  <c r="F149" i="6"/>
  <c r="F152" i="6"/>
  <c r="F155" i="6"/>
  <c r="F159" i="6"/>
  <c r="F160" i="6"/>
  <c r="F148" i="6"/>
  <c r="K130" i="6"/>
  <c r="L130" i="6"/>
  <c r="J130" i="6"/>
  <c r="J131" i="6"/>
  <c r="K77" i="6"/>
  <c r="L77" i="6"/>
  <c r="J77" i="6"/>
  <c r="J75" i="6"/>
  <c r="J73" i="6"/>
  <c r="L25" i="6"/>
  <c r="L26" i="6"/>
  <c r="L27" i="6"/>
  <c r="L28" i="6"/>
  <c r="L29" i="6"/>
  <c r="L30" i="6"/>
  <c r="L31" i="6"/>
  <c r="L32" i="6"/>
  <c r="L24" i="6"/>
  <c r="K32" i="6"/>
  <c r="G26" i="6"/>
  <c r="K30" i="6"/>
  <c r="H50" i="4"/>
  <c r="G50" i="4"/>
  <c r="F50" i="4"/>
  <c r="H194" i="4"/>
  <c r="G194" i="4"/>
  <c r="H187" i="4"/>
  <c r="G187" i="4"/>
  <c r="H181" i="4"/>
  <c r="G181" i="4"/>
  <c r="H175" i="4"/>
  <c r="G175" i="4"/>
  <c r="H168" i="4"/>
  <c r="G168" i="4"/>
  <c r="H164" i="4"/>
  <c r="G164" i="4"/>
  <c r="H126" i="4"/>
  <c r="G126" i="4"/>
  <c r="H106" i="4"/>
  <c r="G106" i="4"/>
  <c r="H91" i="4"/>
  <c r="G91" i="4"/>
  <c r="F126" i="4"/>
  <c r="F194" i="4"/>
  <c r="F175" i="4"/>
  <c r="F106" i="4"/>
  <c r="F91" i="4"/>
  <c r="F104" i="4"/>
  <c r="F89" i="4"/>
  <c r="F44" i="4"/>
  <c r="F43" i="4"/>
  <c r="F124" i="4"/>
  <c r="F185" i="4"/>
  <c r="G173" i="4"/>
  <c r="H173" i="4"/>
  <c r="F173" i="4"/>
  <c r="F165" i="4"/>
  <c r="G161" i="4"/>
  <c r="H161" i="4"/>
  <c r="F161" i="4"/>
  <c r="F156" i="4"/>
  <c r="F150" i="4"/>
  <c r="F42" i="4"/>
  <c r="F60" i="4"/>
  <c r="F56" i="4"/>
  <c r="F117" i="4"/>
  <c r="F69" i="4"/>
  <c r="F162" i="4"/>
  <c r="F73" i="4"/>
  <c r="O223" i="6"/>
  <c r="Q160" i="6"/>
  <c r="Q161" i="6"/>
  <c r="L162" i="6"/>
  <c r="P160" i="6"/>
  <c r="P161" i="6"/>
  <c r="K162" i="6"/>
  <c r="O160" i="6"/>
  <c r="Q159" i="6"/>
  <c r="P159" i="6"/>
  <c r="O159" i="6"/>
  <c r="O161" i="6"/>
  <c r="J162" i="6"/>
  <c r="H86" i="4"/>
  <c r="H84" i="4"/>
  <c r="G86" i="4"/>
  <c r="G84" i="4"/>
  <c r="F84" i="4"/>
  <c r="H144" i="4"/>
  <c r="H142" i="4"/>
  <c r="G144" i="4"/>
  <c r="G142" i="4"/>
  <c r="G141" i="4"/>
  <c r="H7" i="5"/>
  <c r="F144" i="4"/>
  <c r="F142" i="4"/>
  <c r="F192" i="4"/>
  <c r="G19" i="5"/>
  <c r="O238" i="6"/>
  <c r="O245" i="6"/>
  <c r="J246" i="6"/>
  <c r="F129" i="4"/>
  <c r="F86" i="4"/>
  <c r="O114" i="6"/>
  <c r="O115" i="6"/>
  <c r="O236" i="6"/>
  <c r="O214" i="6"/>
  <c r="O169" i="6"/>
  <c r="J170" i="6"/>
  <c r="O237" i="6"/>
  <c r="J186" i="6"/>
  <c r="O192" i="6"/>
  <c r="J185" i="6"/>
  <c r="F163" i="4"/>
  <c r="O190" i="6"/>
  <c r="O189" i="6"/>
  <c r="Q237" i="6"/>
  <c r="P237" i="6"/>
  <c r="K245" i="6"/>
  <c r="L245" i="6"/>
  <c r="J245" i="6"/>
  <c r="K228" i="6"/>
  <c r="L228" i="6"/>
  <c r="J228" i="6"/>
  <c r="O240" i="6"/>
  <c r="O225" i="6"/>
  <c r="O101" i="6"/>
  <c r="O222" i="6"/>
  <c r="O228" i="6"/>
  <c r="J229" i="6"/>
  <c r="O212" i="6"/>
  <c r="F116" i="4"/>
  <c r="F114" i="4"/>
  <c r="F41" i="4"/>
  <c r="F40" i="4"/>
  <c r="F36" i="4"/>
  <c r="F103" i="4"/>
  <c r="F87" i="4"/>
  <c r="F83" i="4"/>
  <c r="O247" i="6"/>
  <c r="D25" i="6"/>
  <c r="H25" i="6"/>
  <c r="J25" i="6"/>
  <c r="K25" i="6"/>
  <c r="D26" i="6"/>
  <c r="H26" i="6"/>
  <c r="J26" i="6"/>
  <c r="D27" i="6"/>
  <c r="D28" i="6"/>
  <c r="H28" i="6"/>
  <c r="J28" i="6"/>
  <c r="K28" i="6"/>
  <c r="D29" i="6"/>
  <c r="H29" i="6"/>
  <c r="J29" i="6"/>
  <c r="D30" i="6"/>
  <c r="H30" i="6"/>
  <c r="J30" i="6"/>
  <c r="D31" i="6"/>
  <c r="H31" i="6"/>
  <c r="J31" i="6"/>
  <c r="D32" i="6"/>
  <c r="D24" i="6"/>
  <c r="H24" i="6"/>
  <c r="Q242" i="6"/>
  <c r="P242" i="6"/>
  <c r="O242" i="6"/>
  <c r="J161" i="6"/>
  <c r="L141" i="6"/>
  <c r="P140" i="6"/>
  <c r="P141" i="6"/>
  <c r="K142" i="6"/>
  <c r="Q140" i="6"/>
  <c r="Q141" i="6"/>
  <c r="L142" i="6"/>
  <c r="J74" i="6"/>
  <c r="J76" i="6"/>
  <c r="G60" i="4"/>
  <c r="H60" i="4"/>
  <c r="H56" i="4"/>
  <c r="O191" i="6"/>
  <c r="O131" i="6"/>
  <c r="O133" i="6"/>
  <c r="J134" i="6"/>
  <c r="O213" i="6"/>
  <c r="O99" i="6"/>
  <c r="Q235" i="6"/>
  <c r="P235" i="6"/>
  <c r="O235" i="6"/>
  <c r="O210" i="6"/>
  <c r="O41" i="6"/>
  <c r="J42" i="6"/>
  <c r="G16" i="5"/>
  <c r="G29" i="5"/>
  <c r="O241" i="6"/>
  <c r="P241" i="6"/>
  <c r="Q241" i="6"/>
  <c r="O211" i="6"/>
  <c r="H141" i="4"/>
  <c r="I7" i="5"/>
  <c r="I79" i="7"/>
  <c r="J141" i="6"/>
  <c r="Q213" i="6"/>
  <c r="P213" i="6"/>
  <c r="P215" i="6"/>
  <c r="K216" i="6"/>
  <c r="Q15" i="5"/>
  <c r="M251" i="6"/>
  <c r="N251" i="6"/>
  <c r="I29" i="5"/>
  <c r="H29" i="5"/>
  <c r="I20" i="5"/>
  <c r="I19" i="5"/>
  <c r="H20" i="5"/>
  <c r="H19" i="5"/>
  <c r="O233" i="6"/>
  <c r="P193" i="6"/>
  <c r="O89" i="6"/>
  <c r="O243" i="6"/>
  <c r="G95" i="4"/>
  <c r="H95" i="4"/>
  <c r="G129" i="4"/>
  <c r="G122" i="4"/>
  <c r="H129" i="4"/>
  <c r="F95" i="4"/>
  <c r="G56" i="4"/>
  <c r="P132" i="6"/>
  <c r="Q132" i="6"/>
  <c r="R132" i="6"/>
  <c r="O132" i="6"/>
  <c r="K161" i="6"/>
  <c r="I16" i="5"/>
  <c r="H16" i="5"/>
  <c r="L115" i="6"/>
  <c r="F99" i="6"/>
  <c r="B33" i="6"/>
  <c r="I44" i="7"/>
  <c r="H41" i="4"/>
  <c r="H40" i="4"/>
  <c r="H36" i="4"/>
  <c r="J39" i="6"/>
  <c r="I67" i="7"/>
  <c r="J87" i="6"/>
  <c r="I53" i="7"/>
  <c r="I32" i="7"/>
  <c r="I21" i="7"/>
  <c r="G37" i="4"/>
  <c r="H37" i="4"/>
  <c r="F37" i="4"/>
  <c r="Q244" i="6"/>
  <c r="Q243" i="6"/>
  <c r="Q238" i="6"/>
  <c r="Q234" i="6"/>
  <c r="Q245" i="6"/>
  <c r="L246" i="6"/>
  <c r="Q227" i="6"/>
  <c r="Q226" i="6"/>
  <c r="Q223" i="6"/>
  <c r="Q222" i="6"/>
  <c r="Q214" i="6"/>
  <c r="Q212" i="6"/>
  <c r="Q215" i="6"/>
  <c r="L216" i="6"/>
  <c r="Q192" i="6"/>
  <c r="Q191" i="6"/>
  <c r="Q194" i="6"/>
  <c r="L195" i="6"/>
  <c r="Q169" i="6"/>
  <c r="L170" i="6"/>
  <c r="Q131" i="6"/>
  <c r="Q99" i="6"/>
  <c r="Q89" i="6"/>
  <c r="L90" i="6"/>
  <c r="Q77" i="6"/>
  <c r="L78" i="6"/>
  <c r="Q49" i="6"/>
  <c r="L50" i="6"/>
  <c r="Q41" i="6"/>
  <c r="L42" i="6"/>
  <c r="Q31" i="6"/>
  <c r="Q30" i="6"/>
  <c r="P244" i="6"/>
  <c r="P243" i="6"/>
  <c r="P240" i="6"/>
  <c r="P238" i="6"/>
  <c r="P234" i="6"/>
  <c r="P245" i="6"/>
  <c r="K246" i="6"/>
  <c r="P227" i="6"/>
  <c r="P226" i="6"/>
  <c r="P223" i="6"/>
  <c r="P222" i="6"/>
  <c r="P228" i="6"/>
  <c r="P214" i="6"/>
  <c r="P212" i="6"/>
  <c r="P192" i="6"/>
  <c r="P191" i="6"/>
  <c r="P194" i="6"/>
  <c r="K195" i="6"/>
  <c r="P169" i="6"/>
  <c r="K170" i="6"/>
  <c r="P131" i="6"/>
  <c r="P133" i="6"/>
  <c r="K134" i="6"/>
  <c r="P99" i="6"/>
  <c r="P89" i="6"/>
  <c r="K90" i="6"/>
  <c r="P77" i="6"/>
  <c r="K78" i="6"/>
  <c r="P49" i="6"/>
  <c r="K50" i="6"/>
  <c r="P41" i="6"/>
  <c r="K42" i="6"/>
  <c r="P31" i="6"/>
  <c r="P30" i="6"/>
  <c r="P33" i="6"/>
  <c r="L215" i="6"/>
  <c r="K215" i="6"/>
  <c r="L194" i="6"/>
  <c r="K194" i="6"/>
  <c r="L133" i="6"/>
  <c r="K133" i="6"/>
  <c r="K115" i="6"/>
  <c r="L103" i="6"/>
  <c r="K103" i="6"/>
  <c r="L89" i="6"/>
  <c r="K89" i="6"/>
  <c r="L49" i="6"/>
  <c r="K49" i="6"/>
  <c r="L41" i="6"/>
  <c r="K41" i="6"/>
  <c r="J133" i="6"/>
  <c r="J29" i="5"/>
  <c r="J19" i="5"/>
  <c r="J16" i="5"/>
  <c r="J88" i="6"/>
  <c r="H27" i="6"/>
  <c r="J27" i="6"/>
  <c r="O31" i="6"/>
  <c r="H32" i="6"/>
  <c r="J32" i="6"/>
  <c r="C33" i="6"/>
  <c r="I33" i="6"/>
  <c r="J41" i="6"/>
  <c r="J48" i="6"/>
  <c r="J49" i="6"/>
  <c r="O49" i="6"/>
  <c r="J50" i="6"/>
  <c r="O77" i="6"/>
  <c r="F101" i="6"/>
  <c r="F102" i="6"/>
  <c r="F113" i="6"/>
  <c r="J115" i="6"/>
  <c r="J116" i="6"/>
  <c r="O140" i="6"/>
  <c r="O141" i="6"/>
  <c r="J215" i="6"/>
  <c r="O226" i="6"/>
  <c r="O227" i="6"/>
  <c r="O234" i="6"/>
  <c r="O244" i="6"/>
  <c r="F32" i="4"/>
  <c r="G32" i="4"/>
  <c r="H32" i="4"/>
  <c r="G41" i="4"/>
  <c r="G40" i="4"/>
  <c r="G36" i="4"/>
  <c r="F76" i="4"/>
  <c r="G76" i="4"/>
  <c r="H76" i="4"/>
  <c r="G85" i="4"/>
  <c r="H85" i="4"/>
  <c r="G116" i="4"/>
  <c r="G114" i="4"/>
  <c r="H116" i="4"/>
  <c r="H114" i="4"/>
  <c r="J89" i="6"/>
  <c r="J90" i="6"/>
  <c r="O100" i="6"/>
  <c r="F123" i="4"/>
  <c r="F122" i="4"/>
  <c r="Q240" i="6"/>
  <c r="P233" i="6"/>
  <c r="Q233" i="6"/>
  <c r="Q193" i="6"/>
  <c r="G103" i="4"/>
  <c r="P61" i="6"/>
  <c r="H103" i="4"/>
  <c r="Q61" i="6"/>
  <c r="P32" i="6"/>
  <c r="P100" i="6"/>
  <c r="P103" i="6"/>
  <c r="K104" i="6"/>
  <c r="G123" i="4"/>
  <c r="Q100" i="6"/>
  <c r="Q103" i="6"/>
  <c r="L104" i="6"/>
  <c r="H123" i="4"/>
  <c r="H122" i="4"/>
  <c r="P225" i="6"/>
  <c r="G148" i="4"/>
  <c r="Q225" i="6"/>
  <c r="Q228" i="6"/>
  <c r="Q32" i="6"/>
  <c r="O193" i="6"/>
  <c r="H148" i="4"/>
  <c r="L161" i="6"/>
  <c r="P236" i="6"/>
  <c r="Q236" i="6"/>
  <c r="J103" i="6"/>
  <c r="F100" i="6"/>
  <c r="J194" i="6"/>
  <c r="J195" i="6"/>
  <c r="L33" i="6"/>
  <c r="O32" i="6"/>
  <c r="O30" i="6"/>
  <c r="O33" i="6"/>
  <c r="H58" i="6"/>
  <c r="F88" i="4"/>
  <c r="F148" i="4"/>
  <c r="Q33" i="6"/>
  <c r="L60" i="6"/>
  <c r="Q133" i="6"/>
  <c r="L134" i="6"/>
  <c r="O215" i="6"/>
  <c r="O103" i="6"/>
  <c r="J104" i="6"/>
  <c r="F143" i="4"/>
  <c r="F141" i="4"/>
  <c r="G7" i="5"/>
  <c r="F85" i="4"/>
  <c r="G15" i="5"/>
  <c r="N10" i="5"/>
  <c r="G34" i="5"/>
  <c r="G35" i="5"/>
  <c r="O61" i="6"/>
  <c r="O194" i="6"/>
  <c r="P142" i="6"/>
  <c r="J24" i="6"/>
  <c r="K24" i="6"/>
  <c r="H33" i="6"/>
  <c r="J33" i="6"/>
  <c r="K33" i="6"/>
  <c r="H34" i="5"/>
  <c r="H35" i="5"/>
  <c r="H15" i="5"/>
  <c r="O10" i="5"/>
  <c r="I34" i="5"/>
  <c r="I35" i="5"/>
  <c r="I15" i="5"/>
  <c r="P10" i="5"/>
  <c r="J78" i="6"/>
  <c r="J57" i="6"/>
  <c r="J59" i="6"/>
  <c r="J58" i="6"/>
  <c r="O142" i="6"/>
  <c r="J142" i="6"/>
  <c r="P15" i="5"/>
  <c r="O15" i="5"/>
  <c r="N15" i="5"/>
  <c r="H83" i="4"/>
  <c r="G83" i="4"/>
  <c r="K59" i="6"/>
  <c r="P246" i="6"/>
  <c r="K58" i="6"/>
  <c r="K34" i="6"/>
  <c r="K57" i="6"/>
  <c r="K60" i="6"/>
  <c r="H35" i="4"/>
  <c r="Q247" i="6"/>
  <c r="F35" i="4"/>
  <c r="L58" i="6"/>
  <c r="J60" i="6"/>
  <c r="J61" i="6"/>
  <c r="J64" i="6"/>
  <c r="J34" i="6"/>
  <c r="L59" i="6"/>
  <c r="Q142" i="6"/>
  <c r="Q246" i="6"/>
  <c r="H59" i="6"/>
  <c r="H57" i="6"/>
  <c r="O246" i="6"/>
  <c r="J247" i="6"/>
  <c r="J216" i="6"/>
  <c r="L57" i="6"/>
  <c r="L61" i="6"/>
  <c r="L64" i="6"/>
  <c r="L34" i="6"/>
  <c r="H60" i="6"/>
  <c r="L247" i="6"/>
  <c r="K61" i="6"/>
  <c r="K64" i="6"/>
  <c r="P247" i="6"/>
  <c r="K247" i="6"/>
  <c r="G35" i="4"/>
</calcChain>
</file>

<file path=xl/sharedStrings.xml><?xml version="1.0" encoding="utf-8"?>
<sst xmlns="http://schemas.openxmlformats.org/spreadsheetml/2006/main" count="1213" uniqueCount="599">
  <si>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</si>
  <si>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</si>
  <si>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</si>
  <si>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</si>
  <si>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</si>
  <si>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</si>
  <si>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</si>
  <si>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</si>
  <si>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</si>
  <si>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</si>
  <si>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</si>
  <si>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</si>
  <si>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</si>
  <si>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</si>
  <si>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</si>
  <si>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</si>
  <si>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</si>
  <si>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</si>
  <si>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</si>
  <si>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</si>
  <si>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</si>
  <si>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Утверждаю</t>
  </si>
  <si>
    <t>Коды</t>
  </si>
  <si>
    <t>Дата</t>
  </si>
  <si>
    <t>по Сводному реестру</t>
  </si>
  <si>
    <t>глава по БК</t>
  </si>
  <si>
    <t>Орган, осуществляющий</t>
  </si>
  <si>
    <t>ИНН</t>
  </si>
  <si>
    <t>КПП</t>
  </si>
  <si>
    <t>по ОКЕИ</t>
  </si>
  <si>
    <t>383</t>
  </si>
  <si>
    <t>Единица измерения: руб.</t>
  </si>
  <si>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</si>
  <si>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</si>
  <si>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</si>
  <si>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</si>
  <si>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</si>
  <si>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</si>
  <si>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</si>
  <si>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</si>
  <si>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</si>
  <si>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</si>
  <si>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</si>
  <si>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</si>
  <si>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</si>
  <si>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</si>
  <si>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</si>
  <si>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</si>
  <si>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</si>
  <si>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</si>
  <si>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</si>
  <si>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</si>
  <si>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</si>
  <si>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</si>
  <si>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</si>
  <si>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</si>
  <si>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</si>
  <si>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</si>
  <si>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</si>
  <si>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</si>
  <si>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</si>
  <si>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</si>
  <si>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</si>
  <si>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</si>
  <si>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</si>
  <si>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</si>
  <si>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</si>
  <si>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</si>
  <si>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</si>
  <si>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</si>
  <si>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</si>
  <si>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</si>
  <si>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</si>
  <si>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</si>
  <si>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</si>
  <si>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</si>
  <si>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</si>
  <si>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</si>
  <si>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</si>
  <si>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</si>
  <si>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</si>
  <si>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</si>
  <si>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</si>
  <si>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</si>
  <si>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</si>
  <si>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</si>
  <si>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</si>
  <si>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</si>
  <si>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</si>
  <si>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</si>
  <si>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</si>
  <si>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</si>
  <si>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</si>
  <si>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</si>
  <si>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</si>
  <si>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</si>
  <si>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</si>
  <si>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</si>
  <si>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</si>
  <si>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</si>
  <si>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</si>
  <si>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</si>
  <si>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</si>
  <si>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</si>
  <si>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</si>
  <si>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</si>
  <si>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</si>
  <si>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</si>
  <si>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</si>
  <si>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</si>
  <si>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</si>
  <si>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</si>
  <si>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</si>
  <si>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</si>
  <si>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</si>
  <si>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</si>
  <si>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</si>
  <si>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</si>
  <si>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</si>
  <si>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</si>
  <si>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</si>
  <si>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</si>
  <si>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</si>
  <si>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</si>
  <si>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</si>
  <si>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</si>
  <si>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</si>
  <si>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</si>
  <si>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</si>
  <si>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</si>
  <si>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</si>
  <si>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</si>
  <si>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</si>
  <si>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</si>
  <si>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</si>
  <si>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</si>
  <si>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</si>
  <si>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</si>
  <si>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</si>
  <si>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</si>
  <si>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</si>
  <si>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</si>
  <si>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</si>
  <si>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</si>
  <si>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</si>
  <si>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</si>
  <si>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</si>
  <si>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</si>
  <si>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</si>
  <si>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</si>
  <si>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</si>
  <si>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</si>
  <si>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</si>
  <si>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</si>
  <si>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</si>
  <si>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</si>
  <si>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</si>
  <si>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</si>
  <si>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</si>
  <si>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</si>
  <si>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</si>
  <si>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</si>
  <si>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</si>
  <si>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</si>
  <si>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</si>
  <si>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</si>
  <si>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</si>
  <si>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</si>
  <si>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</si>
  <si>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</si>
  <si>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</si>
  <si>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</si>
  <si>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</si>
  <si>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</si>
  <si>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</si>
  <si>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</si>
  <si>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</si>
  <si>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</si>
  <si>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</si>
  <si>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</si>
  <si>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</si>
  <si>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</si>
  <si>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</si>
  <si>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</si>
  <si>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</si>
  <si>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</si>
  <si>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</si>
  <si>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</si>
  <si>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</si>
  <si>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</si>
  <si>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</si>
  <si>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</si>
  <si>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</si>
  <si>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</si>
  <si>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</si>
  <si>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</si>
  <si>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</si>
  <si>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</si>
  <si>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</si>
  <si>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</si>
  <si>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</si>
  <si>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</si>
  <si>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</si>
  <si>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</si>
  <si>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</si>
  <si>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</si>
  <si>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</si>
  <si>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</si>
  <si>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</si>
  <si>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</si>
  <si>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</si>
  <si>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</si>
  <si>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</si>
  <si>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</si>
  <si>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</si>
  <si>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</si>
  <si>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</si>
  <si>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</si>
  <si>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</si>
  <si>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</si>
  <si>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</si>
  <si>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</si>
  <si>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</si>
  <si>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</si>
  <si>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</si>
  <si>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</si>
  <si>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</si>
  <si>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</si>
  <si>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</si>
  <si>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</si>
  <si>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</si>
  <si>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</si>
  <si>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</si>
  <si>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</si>
  <si>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</si>
  <si>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</si>
  <si>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</si>
  <si>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</si>
  <si>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</si>
  <si>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</si>
  <si>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</si>
  <si>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</si>
  <si>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</si>
  <si>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</si>
  <si>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</si>
  <si>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</si>
  <si>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</si>
  <si>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</si>
  <si>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</si>
  <si>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</si>
  <si>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</si>
  <si>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</si>
  <si>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</si>
  <si>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 2022г.</t>
  </si>
  <si>
    <t>074</t>
  </si>
  <si>
    <t>370201001</t>
  </si>
  <si>
    <t>Директор</t>
  </si>
  <si>
    <t xml:space="preserve">(подпись)   </t>
  </si>
  <si>
    <t xml:space="preserve">  (расшифровка подписи)</t>
  </si>
  <si>
    <t>на 2022</t>
  </si>
  <si>
    <t xml:space="preserve">функции и полномочия учредителя            </t>
  </si>
  <si>
    <t xml:space="preserve"> управление образования Администрации города Иванова</t>
  </si>
  <si>
    <t xml:space="preserve">Учреждение  </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</si>
  <si>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</si>
  <si>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211</t>
  </si>
  <si>
    <t>226</t>
  </si>
  <si>
    <t>222</t>
  </si>
  <si>
    <t>МЗ</t>
  </si>
  <si>
    <t>ИЦ</t>
  </si>
  <si>
    <t>ПУ</t>
  </si>
  <si>
    <t>266</t>
  </si>
  <si>
    <t>213</t>
  </si>
  <si>
    <t>291</t>
  </si>
  <si>
    <t>295</t>
  </si>
  <si>
    <t>221</t>
  </si>
  <si>
    <t>223</t>
  </si>
  <si>
    <t>224</t>
  </si>
  <si>
    <t>225</t>
  </si>
  <si>
    <t>227</t>
  </si>
  <si>
    <t>310</t>
  </si>
  <si>
    <t>343</t>
  </si>
  <si>
    <t>344</t>
  </si>
  <si>
    <t>345</t>
  </si>
  <si>
    <t>346</t>
  </si>
  <si>
    <t>349</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</si>
  <si>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</si>
  <si>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2100)</t>
  </si>
  <si>
    <t>Код видов расходов</t>
  </si>
  <si>
    <t>Источник финансового обеспечения</t>
  </si>
  <si>
    <t>Субсидии на выполнение муниципального задания, платные услуги</t>
  </si>
  <si>
    <t>Должность</t>
  </si>
  <si>
    <t>Численность штат, ед</t>
  </si>
  <si>
    <t>Численность факт, ед</t>
  </si>
  <si>
    <t>Среднемесячный размер оплаты труда на одного работника по бюджету, руб.</t>
  </si>
  <si>
    <t>ФОТ Бюджет             в год, руб.</t>
  </si>
  <si>
    <t>ФОТ ПУ               в год, руб.</t>
  </si>
  <si>
    <t>Общий ФОТ                        в год, руб.</t>
  </si>
  <si>
    <t>всего</t>
  </si>
  <si>
    <t>по должностному окладу</t>
  </si>
  <si>
    <t>по выплатам компенсационного характера, отпуска, пособия</t>
  </si>
  <si>
    <t>по выплатам стимулирующего характера</t>
  </si>
  <si>
    <t>8=(гр.3 x гр.4) x 12</t>
  </si>
  <si>
    <t>10=(гр.8+гр.9)</t>
  </si>
  <si>
    <t>АУП (списочный состав)</t>
  </si>
  <si>
    <t>Педагогические работники кроме учителей (списочный состав)</t>
  </si>
  <si>
    <t>Учителя (списочный состав)</t>
  </si>
  <si>
    <t>Прочий персонал (списочный состав)</t>
  </si>
  <si>
    <t>АУП (совместители)</t>
  </si>
  <si>
    <t>Педагогические работники кроме учителей (совместители)</t>
  </si>
  <si>
    <t>Учителя (совместители)</t>
  </si>
  <si>
    <t>Прочий персонал (совместители)</t>
  </si>
  <si>
    <t xml:space="preserve">Итого: </t>
  </si>
  <si>
    <t>Наименование расходов</t>
  </si>
  <si>
    <t>Стоимость проезда</t>
  </si>
  <si>
    <t>Количество работников</t>
  </si>
  <si>
    <t>Количество поездок</t>
  </si>
  <si>
    <t>Сумма, руб.</t>
  </si>
  <si>
    <t>5=(гр.2х гр.3 хгр.4)</t>
  </si>
  <si>
    <t>1.3. Расчеты (обоснования) выплат персоналу по уходу за ребенком КОСГУ 266</t>
  </si>
  <si>
    <t>Численность работников</t>
  </si>
  <si>
    <t xml:space="preserve">Количество выплат в год </t>
  </si>
  <si>
    <t>Размер пособия в месяц</t>
  </si>
  <si>
    <t>компенсация по уходу за ребенком до 3-х лет</t>
  </si>
  <si>
    <t>1.4. Расчеты (обоснования) страховых взносов на обязательное страхование в ПФ РФ, в ФСС РФ, в ФФОМС КОСГУ 213</t>
  </si>
  <si>
    <t>Наименование государственного внебюджетного фонда</t>
  </si>
  <si>
    <t>База для начисления взносов, руб.</t>
  </si>
  <si>
    <t>Сумма взноса, руб.</t>
  </si>
  <si>
    <r>
      <t xml:space="preserve">Страховые взносы в ПФ РФ по ставке </t>
    </r>
    <r>
      <rPr>
        <b/>
        <sz val="10"/>
        <rFont val="Times New Roman"/>
        <family val="1"/>
        <charset val="204"/>
      </rPr>
      <t>22,0%</t>
    </r>
  </si>
  <si>
    <r>
      <t xml:space="preserve">Страховые взносы в ФСС РФ на обязательное социальное страхование </t>
    </r>
    <r>
      <rPr>
        <b/>
        <sz val="10"/>
        <rFont val="Times New Roman"/>
        <family val="1"/>
        <charset val="204"/>
      </rPr>
      <t>на случай временной нетрудоспособности</t>
    </r>
    <r>
      <rPr>
        <sz val="10"/>
        <rFont val="Times New Roman"/>
        <family val="1"/>
        <charset val="204"/>
      </rPr>
      <t xml:space="preserve"> и в связи с материнством по ставке </t>
    </r>
    <r>
      <rPr>
        <b/>
        <sz val="10"/>
        <rFont val="Times New Roman"/>
        <family val="1"/>
        <charset val="204"/>
      </rPr>
      <t>2,9%</t>
    </r>
  </si>
  <si>
    <r>
      <t xml:space="preserve">Страховые взносы в ФСС РФ на обязательное социальное страхование </t>
    </r>
    <r>
      <rPr>
        <b/>
        <sz val="10"/>
        <rFont val="Times New Roman"/>
        <family val="1"/>
        <charset val="204"/>
      </rPr>
      <t>от несчастных случаев</t>
    </r>
    <r>
      <rPr>
        <sz val="10"/>
        <rFont val="Times New Roman"/>
        <family val="1"/>
        <charset val="204"/>
      </rPr>
      <t xml:space="preserve"> на производстве и профессиональных заболеваний по ставке </t>
    </r>
    <r>
      <rPr>
        <b/>
        <sz val="10"/>
        <rFont val="Times New Roman"/>
        <family val="1"/>
        <charset val="204"/>
      </rPr>
      <t>0,2%</t>
    </r>
  </si>
  <si>
    <r>
      <t xml:space="preserve">Страховые взносы в Федеральный фонд обязательного медицинского страхования по ставке </t>
    </r>
    <r>
      <rPr>
        <b/>
        <sz val="10"/>
        <rFont val="Times New Roman"/>
        <family val="1"/>
        <charset val="204"/>
      </rPr>
      <t>5,1%</t>
    </r>
  </si>
  <si>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</si>
  <si>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 (строка 2211)</t>
  </si>
  <si>
    <t>321  КОСГУ 266</t>
  </si>
  <si>
    <t>Субсидии на иные цели</t>
  </si>
  <si>
    <t>Размер одной выплаты, руб.</t>
  </si>
  <si>
    <t>Количество выплат в год</t>
  </si>
  <si>
    <t>Общая сумма выплат, руб.</t>
  </si>
  <si>
    <t>4=(гр.2хгр.3)</t>
  </si>
  <si>
    <t>3. Расчет (обоснование) расходов на уплату налогов, сборов и иных платежей (строка 2310)</t>
  </si>
  <si>
    <t>851  КОСГУ 291</t>
  </si>
  <si>
    <t>Налоговая база, руб.</t>
  </si>
  <si>
    <t>Ставка налога, %</t>
  </si>
  <si>
    <t>Сумма налога, руб.</t>
  </si>
  <si>
    <t>4=(гр.2 x гр.3 /100)</t>
  </si>
  <si>
    <t>Налог на землю</t>
  </si>
  <si>
    <t>Налог на имущество организаций</t>
  </si>
  <si>
    <t>3. Расчет (обоснование) расходов на уплату налогов, сборов и иных платежей (строка 2320)</t>
  </si>
  <si>
    <t>853  КОСГУ 291,295</t>
  </si>
  <si>
    <t>Предписание, источник,№</t>
  </si>
  <si>
    <t>Плата за негативное воздействие на окружающую среду</t>
  </si>
  <si>
    <t>Штарафы, пени</t>
  </si>
  <si>
    <t>6. Расчет (обоснование) расходов на закупку товаров, работ, услуг (строка 2600)</t>
  </si>
  <si>
    <t>Субсидии на выполнение муниципального задания, субсидии на иные цели, платные услуги</t>
  </si>
  <si>
    <t>6.1. Расчет (обоснование) расходов на оплату услуг связи (КОСГУ 221)</t>
  </si>
  <si>
    <t>Количество номеров</t>
  </si>
  <si>
    <t>Количество платежей в год</t>
  </si>
  <si>
    <t>Стоимость за единицу, руб</t>
  </si>
  <si>
    <t xml:space="preserve">Сумма, руб. </t>
  </si>
  <si>
    <t>5=(гр.2х гр.3х гр.4)</t>
  </si>
  <si>
    <t>Повременная оплата (поминутная)</t>
  </si>
  <si>
    <t>Параллельный телефон</t>
  </si>
  <si>
    <t>Количество услуг перевозки</t>
  </si>
  <si>
    <t>6.3. Расчет (обоснование) расходов на оплату коммунальных услуг  (КОСГУ 223)</t>
  </si>
  <si>
    <t>Ед.измерения</t>
  </si>
  <si>
    <t>Размер потребления ресурсов</t>
  </si>
  <si>
    <t>Тариф, руб.</t>
  </si>
  <si>
    <t>5=(гр.3хгр.4)</t>
  </si>
  <si>
    <t>Вода и канализация</t>
  </si>
  <si>
    <t>м.куб.</t>
  </si>
  <si>
    <t>Стоки хол.и гор.воды, негативное воздействие</t>
  </si>
  <si>
    <t>Теплоэнергия</t>
  </si>
  <si>
    <t>Г.кал</t>
  </si>
  <si>
    <t>Теплоноситель</t>
  </si>
  <si>
    <t>Купля-продажа эл.энергии</t>
  </si>
  <si>
    <t>кВт</t>
  </si>
  <si>
    <t>Передача эл.энергии</t>
  </si>
  <si>
    <t>Количество</t>
  </si>
  <si>
    <t>6.5. Расчет (обоснование) расходов на оплату работ, услуг по содержанию имущества  (КОСГУ 225)</t>
  </si>
  <si>
    <t>Источник финаннсового обеспечения</t>
  </si>
  <si>
    <t>Объект</t>
  </si>
  <si>
    <t>Плата за период/ объект</t>
  </si>
  <si>
    <t>Периодичность</t>
  </si>
  <si>
    <t>Стоимость
работ (услуг), руб.</t>
  </si>
  <si>
    <t>6=(гр.3хгр.4хгр.5)</t>
  </si>
  <si>
    <t>дератизация</t>
  </si>
  <si>
    <t>вывоз отходов</t>
  </si>
  <si>
    <t>оказание услуг по комплексному обслуживанию системы эл.проходная</t>
  </si>
  <si>
    <t>тех.обслуживание узлов учета</t>
  </si>
  <si>
    <t>ремонтные работы</t>
  </si>
  <si>
    <t>6.6. Расчет (обоснование) расходов на оплату прочих работ, услуг  (КОСГУ 226)</t>
  </si>
  <si>
    <t>услуги охраны</t>
  </si>
  <si>
    <t>проведение периодического медицинского осмотра</t>
  </si>
  <si>
    <t>услуги по спец.оценке условий труда</t>
  </si>
  <si>
    <t>Источник финансирования</t>
  </si>
  <si>
    <t>КОСГУ</t>
  </si>
  <si>
    <t>Средняя рыночная стоимость, руб</t>
  </si>
  <si>
    <t>Сумма, руб.
(гр. 2 x гр. 3)</t>
  </si>
  <si>
    <t>6=(гр.4хгр.5)</t>
  </si>
  <si>
    <t>Строительные товары</t>
  </si>
  <si>
    <t>Хоз товары, канцтовары</t>
  </si>
  <si>
    <t>пожертвования</t>
  </si>
  <si>
    <t>металлолом</t>
  </si>
  <si>
    <t>1.1. Расчеты (обоснования) расходов на оплату труда КОСГУ 211,266</t>
  </si>
  <si>
    <t>6.4. Расчет (обоснование) расходов на оплату аренды имущества (КОСГУ 224)</t>
  </si>
  <si>
    <t>440</t>
  </si>
  <si>
    <t>074100000</t>
  </si>
  <si>
    <t>Вода и канализация (Дебет+/Кредит-)</t>
  </si>
  <si>
    <t>Теплоэнергия и теплоноситель (Дебет+/Кркедит-)</t>
  </si>
  <si>
    <t>Купля-продажа эл.энергии (Дебет+/Кредит-)</t>
  </si>
  <si>
    <t>Передача эл.энергии (Дебет+/Кредит-)</t>
  </si>
  <si>
    <t>Теплоноситель поправки</t>
  </si>
  <si>
    <t>тех.обслуживание пожарной сигнализации и системы оповещения</t>
  </si>
  <si>
    <t>№</t>
  </si>
  <si>
    <t>п/п</t>
  </si>
  <si>
    <t xml:space="preserve">Размер арендной платы за 1 кв. м в месяц, </t>
  </si>
  <si>
    <t>руб.</t>
  </si>
  <si>
    <t>Количество площадей помещений,</t>
  </si>
  <si>
    <t>передаваемых в аренду, кв. м</t>
  </si>
  <si>
    <t>Количество месяцев аренды</t>
  </si>
  <si>
    <t xml:space="preserve">Общая сумма </t>
  </si>
  <si>
    <t xml:space="preserve">арендной платы, руб. </t>
  </si>
  <si>
    <t>(гр. 3 × гр. 4× гр. 5)</t>
  </si>
  <si>
    <t xml:space="preserve"> </t>
  </si>
  <si>
    <t>Итого:</t>
  </si>
  <si>
    <t>x</t>
  </si>
  <si>
    <t>1. Обоснования (расчеты) поступлений от использования собственности</t>
  </si>
  <si>
    <t>2. Обоснования (расчеты) поступлений от возмещения расходов, понесенных в связи с эксплуатацией государственного (муниципального) имущества</t>
  </si>
  <si>
    <t xml:space="preserve">Годовая стоимость энергоресурсов по зданию, </t>
  </si>
  <si>
    <t>Площадь здания, кв. м</t>
  </si>
  <si>
    <t xml:space="preserve">Стоимость энергоресурсов, возмещаемая арендаторами, руб. </t>
  </si>
  <si>
    <t>(гр. 3 / гр. 4× гр. 5)</t>
  </si>
  <si>
    <t>3. Обоснования (расчеты) поступлений от платных образовательных услуг</t>
  </si>
  <si>
    <t xml:space="preserve">Стоимость одной </t>
  </si>
  <si>
    <t xml:space="preserve">услуги за час, </t>
  </si>
  <si>
    <t>Среднегодовое количество часов оказанных услуг за последние три года</t>
  </si>
  <si>
    <t xml:space="preserve">Сумма </t>
  </si>
  <si>
    <t xml:space="preserve">поступлений от оказания услуги, руб. </t>
  </si>
  <si>
    <t>(гр. 3 × гр. 4)</t>
  </si>
  <si>
    <t>3. Обоснования (расчеты) поступлений от добровольных пожертвований</t>
  </si>
  <si>
    <t xml:space="preserve">попожертвований , руб. </t>
  </si>
  <si>
    <t>Среднее количество поступлений от одного жертвователя за последние три года</t>
  </si>
  <si>
    <t>Среднее количество договоров пожертвования за последние три года</t>
  </si>
  <si>
    <t xml:space="preserve">количество детодней </t>
  </si>
  <si>
    <t>Стоимость одного</t>
  </si>
  <si>
    <t>детодня, оплачиваемая родителями</t>
  </si>
  <si>
    <t xml:space="preserve">поступлений средств родителей, руб. </t>
  </si>
  <si>
    <t>Примечание (документ-основание)</t>
  </si>
  <si>
    <t>Источник финансового обеспечения (летний лагерь)</t>
  </si>
  <si>
    <t xml:space="preserve">Стоимость  </t>
  </si>
  <si>
    <t>Код видов доходов 121</t>
  </si>
  <si>
    <t>Код видов доходов 135</t>
  </si>
  <si>
    <t>Код видов доходов 131</t>
  </si>
  <si>
    <t>Код видов доходов 155</t>
  </si>
  <si>
    <t>Источник финансового обеспечения: внебюджетные средства</t>
  </si>
  <si>
    <t>2022год</t>
  </si>
  <si>
    <t>летний лагерь</t>
  </si>
  <si>
    <t>ГПД</t>
  </si>
  <si>
    <t>155</t>
  </si>
  <si>
    <t>121</t>
  </si>
  <si>
    <t>эксплуатация имущества</t>
  </si>
  <si>
    <t>135</t>
  </si>
  <si>
    <t>использование собственности</t>
  </si>
  <si>
    <t>Источник финансового обеспечения: внебюджетные средства (ГПД)</t>
  </si>
  <si>
    <t>Источник финансового обеспечения: внебюджетные средства (платные образовательные услуги)</t>
  </si>
  <si>
    <t>Цена услуги перевозки, руб</t>
  </si>
  <si>
    <t xml:space="preserve">Сумма, руб </t>
  </si>
  <si>
    <t>5=( гр.3х гр.4)</t>
  </si>
  <si>
    <t>Ставка арендной платы, руб</t>
  </si>
  <si>
    <t xml:space="preserve">Стоимость с учетом НДС, руб </t>
  </si>
  <si>
    <t>Хохлова И.М.</t>
  </si>
  <si>
    <t>3702137481</t>
  </si>
  <si>
    <t>074100301</t>
  </si>
  <si>
    <t>074100302</t>
  </si>
  <si>
    <t>074100303</t>
  </si>
  <si>
    <t>342</t>
  </si>
  <si>
    <t>выплата молодым специалистам ( ежемесячные )</t>
  </si>
  <si>
    <t>выплата молодым специалистам (единовременные )</t>
  </si>
  <si>
    <t>Абонентская плата</t>
  </si>
  <si>
    <t>оплата интернета</t>
  </si>
  <si>
    <t>на сером поле ничего не стирать !!!</t>
  </si>
  <si>
    <t>Купля-продажа и передача  эл.энергии</t>
  </si>
  <si>
    <t>текущий ремонт зданий</t>
  </si>
  <si>
    <t>уборка придволровой территории</t>
  </si>
  <si>
    <t>тех.обслуживание технических средств обучения</t>
  </si>
  <si>
    <t>обл наказы ремонтные работы</t>
  </si>
  <si>
    <t xml:space="preserve"> софинан обл наказы ремонтные работы</t>
  </si>
  <si>
    <t>капитальный ремонт</t>
  </si>
  <si>
    <t>прием платежей</t>
  </si>
  <si>
    <t>програмное обеспечение</t>
  </si>
  <si>
    <t>ремонтные работы пожертвование</t>
  </si>
  <si>
    <t>курсовая подготовка пед.работников</t>
  </si>
  <si>
    <t>тех.поддержка городской компьютерной( локальной ) сети</t>
  </si>
  <si>
    <t>увеличение стоимости основных средств</t>
  </si>
  <si>
    <t>увеличение стоимости основных средств (обл деп)</t>
  </si>
  <si>
    <t>Призы, грамоты, дипломы</t>
  </si>
  <si>
    <t>Увеличение стоимости продуктов питания</t>
  </si>
  <si>
    <t>Услуги почты ( ИЦ)</t>
  </si>
  <si>
    <t>296</t>
  </si>
  <si>
    <t>350  КОСГУ 296</t>
  </si>
  <si>
    <t>социльная выплата</t>
  </si>
  <si>
    <t>мз</t>
  </si>
  <si>
    <t>иные</t>
  </si>
  <si>
    <t>пу</t>
  </si>
  <si>
    <t>муниц.услуга,ремонт</t>
  </si>
  <si>
    <t>прочие услуги</t>
  </si>
  <si>
    <t>229</t>
  </si>
  <si>
    <t>1410</t>
  </si>
  <si>
    <t>1420</t>
  </si>
  <si>
    <t>180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</si>
  <si>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</si>
  <si>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</si>
  <si>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</si>
  <si>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</si>
  <si>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в том числе:
на оплату труда стажеров
</t>
  </si>
  <si>
    <t>иные выплаты населению</t>
  </si>
  <si>
    <t>613</t>
  </si>
  <si>
    <t xml:space="preserve">из них:
гранты, предоставляемые бюджетным учреждениям
</t>
  </si>
  <si>
    <t>623</t>
  </si>
  <si>
    <t>гранты, предоставляемые автономным учреждениям</t>
  </si>
  <si>
    <t>634</t>
  </si>
  <si>
    <t>гранты, предоставляемые иным некоммерческим организациям (за исключением бюджетных и автономных учреждений)</t>
  </si>
  <si>
    <t>2440</t>
  </si>
  <si>
    <t>2450</t>
  </si>
  <si>
    <t>2460</t>
  </si>
  <si>
    <t>гранты, предоставляемые другим организациям и физическим лицам</t>
  </si>
  <si>
    <t>Код по бюджетной классификации &lt;10.1&gt;</t>
  </si>
  <si>
    <t>4.1</t>
  </si>
  <si>
    <t>26310</t>
  </si>
  <si>
    <t>26310.1</t>
  </si>
  <si>
    <t>26320</t>
  </si>
  <si>
    <t>1.3.1</t>
  </si>
  <si>
    <t>1.3.2</t>
  </si>
  <si>
    <t>в том числе:в соответствии с Федеральным законом N 44-ФЗ</t>
  </si>
  <si>
    <t>из них &lt;10.1&gt;:</t>
  </si>
  <si>
    <t>в том числе:в соответствии с Федеральным законом N 223-ФЗ</t>
  </si>
  <si>
    <t>26421.1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</si>
  <si>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</si>
  <si>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</si>
  <si>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</si>
  <si>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</si>
  <si>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212</t>
  </si>
  <si>
    <t>на 2023</t>
  </si>
  <si>
    <t>на 2023г.</t>
  </si>
  <si>
    <t>2023год</t>
  </si>
  <si>
    <t>247</t>
  </si>
  <si>
    <t>внештатный фонд</t>
  </si>
  <si>
    <t>услуги в обл информац технологий</t>
  </si>
  <si>
    <t>утилизация ламп</t>
  </si>
  <si>
    <t xml:space="preserve"> Муниципальное бюджетное  учреждение дополнительного образования  ЦСК "Притяжение"</t>
  </si>
  <si>
    <t>МБУ ДО ЦСК "Притяжение"</t>
  </si>
  <si>
    <t>проведение мероприятий из средств на иные цели</t>
  </si>
  <si>
    <t>074100402</t>
  </si>
  <si>
    <t>074100403</t>
  </si>
  <si>
    <t>летние лагеря</t>
  </si>
  <si>
    <t>074100401</t>
  </si>
  <si>
    <t>экспресс тест на ковид</t>
  </si>
  <si>
    <t>1.2. Расчеты (обоснования) компенсационных выплат персоналу КОСГУ 212</t>
  </si>
  <si>
    <t>6.2. Расчет (обоснование) расходов на на оплату транспортных услуг (КОСГУ 222)</t>
  </si>
  <si>
    <t>6.7. Расчет (обоснование) расходов на приобретение основных средств, материальных запасов  (КОСГУ 310)</t>
  </si>
  <si>
    <t>6.8. Расчет (обоснование) расходов на приобретение материальных запасов  (КОСГУ 340)</t>
  </si>
  <si>
    <t>Приложение № 2 к Требованиям составления и утверждения</t>
  </si>
  <si>
    <t>плана финансово-хозяйственной деятельности муниципальных</t>
  </si>
  <si>
    <t>бюджетных и автономных учреждений, утвержденным</t>
  </si>
  <si>
    <t>приказом управления образования Администрации города</t>
  </si>
  <si>
    <t>Иванова от 31.03.2020 № 208</t>
  </si>
  <si>
    <t>Приложение № 3 к Требованиям составления и утверждения</t>
  </si>
  <si>
    <t xml:space="preserve"> Приложение  №1 к Требованиям составления и утверждения плана финансово-хозяйственной деятельности муниципальных бюджетных и автономных учреждений, утвержденным  приказом управления образования Администрации города Иванова от 31.03.2020 № 208  
</t>
  </si>
  <si>
    <t>арендная плата</t>
  </si>
  <si>
    <t xml:space="preserve">увеличение стоимости основных средств </t>
  </si>
  <si>
    <t>закупку научно-исследовательских, опытно-конструкторских и технологических работ</t>
  </si>
  <si>
    <t>прочую закупку товаров, работ и услуг</t>
  </si>
  <si>
    <t>246</t>
  </si>
  <si>
    <t>2660</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</si>
  <si>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</si>
  <si>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</si>
  <si>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</si>
  <si>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2710</t>
  </si>
  <si>
    <t>2720</t>
  </si>
  <si>
    <t>приобретение объектов недвижимого имущества государственными (муниципальными) учреждениями</t>
  </si>
  <si>
    <r>
      <t>_____</t>
    </r>
    <r>
      <rPr>
        <sz val="7"/>
        <rFont val="Times New Roman"/>
        <family val="1"/>
        <charset val="204"/>
      </rPr>
      <t>по строкам 2000 - 2720 - коды видов расходов бюджетов классификации расходов бюджетов;</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</si>
  <si>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закупку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</si>
  <si>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</si>
  <si>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4.2</t>
  </si>
  <si>
    <t xml:space="preserve">Уникальный код &lt;10.2&gt; </t>
  </si>
  <si>
    <t>из них &lt;10.2&gt;:</t>
  </si>
  <si>
    <t>26310.2</t>
  </si>
  <si>
    <t>26430.2</t>
  </si>
  <si>
    <t>26451.2</t>
  </si>
  <si>
    <t>"&lt;10.2&gt;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</si>
  <si>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План финансово-хозяйственной деятельности на 2022г</t>
  </si>
  <si>
    <r>
      <t>(на 2022 и плановый период 2023 и 2024годов</t>
    </r>
    <r>
      <rPr>
        <sz val="6"/>
        <rFont val="Times New Roman"/>
        <family val="1"/>
        <charset val="204"/>
      </rPr>
      <t xml:space="preserve"> 1</t>
    </r>
    <r>
      <rPr>
        <sz val="10"/>
        <rFont val="Times New Roman"/>
        <family val="1"/>
        <charset val="204"/>
      </rPr>
      <t>)</t>
    </r>
  </si>
  <si>
    <r>
      <t>от "_____" ______________________ 2022 г.</t>
    </r>
    <r>
      <rPr>
        <vertAlign val="superscript"/>
        <sz val="8"/>
        <rFont val="Times New Roman"/>
        <family val="1"/>
        <charset val="204"/>
      </rPr>
      <t>2</t>
    </r>
  </si>
  <si>
    <t>2024год</t>
  </si>
  <si>
    <t>"_____"__________________________2022г.</t>
  </si>
  <si>
    <t>на 2024г.</t>
  </si>
  <si>
    <t xml:space="preserve">ремонт компьютерной техники </t>
  </si>
  <si>
    <t>на 2024</t>
  </si>
  <si>
    <t>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</si>
</sst>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71" formatCode="_-* #,##0.00_р_._-;\-* #,##0.00_р_._-;_-* &quot;-&quot;??_р_._-;_-@_-"/>
    <numFmt numFmtId="174" formatCode="_-* #,##0_р_._-;\-* #,##0_р_._-;_-* &quot;-&quot;??_р_._-;_-@_-"/>
    <numFmt numFmtId="179" formatCode="0.000"/>
    <numFmt numFmtId="180" formatCode="#,##0.00_ ;\-#,##0.00\ "/>
  </numFmts>
  <fonts count="30" x14ac:knownFonts="1">
    <font>
      <sz val="10"/>
      <name val="Arial Cyr"/>
      <charset val="204"/>
    </font>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10"/>
      <name val="Times New Roman"/>
      <family val="1"/>
      <charset val="204"/>
    </font>
    <font>
      <sz val="9"/>
      <name val="Times New Roman"/>
      <family val="1"/>
      <charset val="204"/>
    </font>
    <font>
      <b/>
      <sz val="12"/>
      <name val="Times New Roman"/>
      <family val="1"/>
      <charset val="204"/>
    </font>
    <font>
      <sz val="12"/>
      <name val="Times New Roman"/>
      <family val="1"/>
      <charset val="204"/>
    </font>
    <font>
      <b/>
      <sz val="11"/>
      <name val="Times New Roman"/>
      <family val="1"/>
      <charset val="204"/>
    </font>
    <font>
      <sz val="11"/>
      <name val="Times New Roman"/>
      <family val="1"/>
      <charset val="204"/>
    </font>
    <font>
      <b/>
      <sz val="10"/>
      <name val="Times New Roman"/>
      <family val="1"/>
      <charset val="204"/>
    </font>
    <font>
      <b/>
      <sz val="10"/>
      <name val="Arial Cyr"/>
      <charset val="204"/>
    </font>
    <font>
      <sz val="9"/>
      <color indexed="9"/>
      <name val="Times New Roman"/>
      <family val="1"/>
      <charset val="204"/>
    </font>
    <font>
      <sz val="9"/>
      <name val="Arial Cyr"/>
      <charset val="204"/>
    </font>
    <font>
      <sz val="8"/>
      <name val="Arial Cyr"/>
      <charset val="204"/>
    </font>
    <font>
      <sz val="8"/>
      <color rgb="FFFF0000"/>
      <name val="Times New Roman"/>
      <family val="1"/>
      <charset val="204"/>
    </font>
    <font>
      <sz val="10"/>
      <color rgb="FFFF0000"/>
      <name val="Times New Roman"/>
      <family val="1"/>
      <charset val="204"/>
    </font>
    <font>
      <sz val="11"/>
      <color rgb="FF000000"/>
      <name val="Times New Roman"/>
      <family val="1"/>
      <charset val="204"/>
    </font>
    <font>
      <b/>
      <i/>
      <sz val="11"/>
      <color rgb="FF000000"/>
      <name val="Times New Roman"/>
      <family val="1"/>
      <charset val="204"/>
    </font>
    <font>
      <sz val="8"/>
      <color rgb="FF000000"/>
      <name val="Times New Roman"/>
      <family val="1"/>
      <charset val="204"/>
    </font>
    <font>
      <b/>
      <sz val="9"/>
      <color rgb="FF000000"/>
      <name val="Times New Roman"/>
      <family val="1"/>
      <charset val="204"/>
    </font>
    <font>
      <sz val="10"/>
      <color theme="5" tint="0.59999389629810485"/>
      <name val="Times New Roman"/>
      <family val="1"/>
      <charset val="204"/>
    </font>
    <font>
      <sz val="10"/>
      <color theme="1"/>
      <name val="Times New Roman"/>
      <family val="1"/>
      <charset val="204"/>
    </font>
  </fonts>
  <fills count="2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7" tint="0.39997558519241921"/>
        <bgColor indexed="64"/>
      </patternFill>
    </fill>
  </fills>
  <borders count="52">
    <border>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s>
  <cellStyleXfs count="2">
    <xf numFmtId="0" fontId="0" fillId="0" borderId="0"/>
    <xf numFmtId="171" fontId="1" fillId="0" borderId="0" applyFont="0" applyFill="0" applyBorder="0" applyAlignment="0" applyProtection="0"/>
  </cellStyleXfs>
  <cellXfs count="643">
    <xf numFmtId="0" fontId="0" fillId="0" borderId="0" xfId="0"/>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9" fillId="0" borderId="0" xfId="0" applyNumberFormat="1" applyFont="1" applyBorder="1" applyAlignment="1">
      <alignment horizontal="left"/>
    </xf>
    <xf numFmtId="0" fontId="2" fillId="0" borderId="1" xfId="0" applyNumberFormat="1" applyFont="1" applyBorder="1" applyAlignment="1">
      <alignment horizontal="center" vertical="top" wrapText="1"/>
    </xf>
    <xf numFmtId="49" fontId="2" fillId="0" borderId="2" xfId="0" applyNumberFormat="1" applyFont="1" applyBorder="1" applyAlignment="1">
      <alignment horizontal="center" vertical="top"/>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0" fontId="2" fillId="0" borderId="4" xfId="0" applyNumberFormat="1" applyFont="1" applyBorder="1" applyAlignment="1">
      <alignment horizontal="center"/>
    </xf>
    <xf numFmtId="49" fontId="2" fillId="0" borderId="5" xfId="0" applyNumberFormat="1" applyFont="1" applyBorder="1" applyAlignment="1">
      <alignment horizontal="center"/>
    </xf>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0" fontId="2" fillId="0" borderId="7" xfId="0" applyNumberFormat="1" applyFont="1" applyBorder="1" applyAlignment="1">
      <alignment horizontal="center"/>
    </xf>
    <xf numFmtId="0" fontId="2" fillId="0" borderId="2" xfId="0" applyNumberFormat="1" applyFont="1" applyBorder="1" applyAlignment="1">
      <alignment horizontal="center"/>
    </xf>
    <xf numFmtId="49" fontId="2" fillId="0" borderId="2" xfId="0" applyNumberFormat="1" applyFont="1" applyBorder="1" applyAlignment="1">
      <alignment horizontal="center"/>
    </xf>
    <xf numFmtId="49" fontId="2" fillId="0" borderId="1" xfId="0" applyNumberFormat="1" applyFont="1" applyBorder="1" applyAlignment="1">
      <alignment horizontal="center"/>
    </xf>
    <xf numFmtId="0" fontId="2" fillId="0" borderId="1" xfId="0" applyNumberFormat="1" applyFont="1" applyBorder="1" applyAlignment="1">
      <alignment horizontal="center"/>
    </xf>
    <xf numFmtId="49" fontId="2" fillId="0" borderId="8" xfId="0" applyNumberFormat="1" applyFont="1" applyBorder="1" applyAlignment="1">
      <alignment horizontal="center"/>
    </xf>
    <xf numFmtId="0" fontId="2"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5" xfId="0" applyNumberFormat="1" applyFont="1" applyBorder="1" applyAlignment="1">
      <alignment horizontal="center"/>
    </xf>
    <xf numFmtId="49" fontId="7" fillId="0" borderId="7" xfId="0" applyNumberFormat="1" applyFont="1" applyBorder="1" applyAlignment="1">
      <alignment horizontal="center"/>
    </xf>
    <xf numFmtId="49" fontId="2" fillId="0" borderId="9" xfId="0" applyNumberFormat="1" applyFont="1" applyBorder="1" applyAlignment="1">
      <alignment horizontal="center"/>
    </xf>
    <xf numFmtId="0" fontId="2" fillId="0" borderId="10" xfId="0" applyNumberFormat="1" applyFont="1" applyBorder="1" applyAlignment="1">
      <alignment horizontal="left" indent="3"/>
    </xf>
    <xf numFmtId="49" fontId="2" fillId="0" borderId="8" xfId="0" applyNumberFormat="1" applyFont="1" applyBorder="1" applyAlignment="1">
      <alignment horizontal="center" vertical="top"/>
    </xf>
    <xf numFmtId="0" fontId="5" fillId="0" borderId="11" xfId="0" applyNumberFormat="1" applyFont="1" applyBorder="1" applyAlignment="1">
      <alignment vertical="top"/>
    </xf>
    <xf numFmtId="0" fontId="4" fillId="0" borderId="0" xfId="0" applyNumberFormat="1" applyFont="1" applyBorder="1" applyAlignment="1"/>
    <xf numFmtId="0" fontId="2" fillId="0" borderId="10" xfId="0" applyNumberFormat="1" applyFont="1" applyBorder="1" applyAlignment="1">
      <alignment horizontal="center"/>
    </xf>
    <xf numFmtId="49" fontId="2" fillId="0" borderId="12" xfId="0" applyNumberFormat="1" applyFont="1" applyBorder="1" applyAlignment="1">
      <alignment horizontal="center" vertical="top"/>
    </xf>
    <xf numFmtId="49" fontId="2" fillId="0" borderId="12" xfId="0" applyNumberFormat="1" applyFont="1" applyBorder="1" applyAlignment="1">
      <alignment horizontal="center"/>
    </xf>
    <xf numFmtId="49" fontId="7" fillId="0" borderId="12" xfId="0" applyNumberFormat="1" applyFont="1" applyBorder="1" applyAlignment="1">
      <alignment horizontal="center"/>
    </xf>
    <xf numFmtId="49" fontId="2" fillId="0" borderId="13" xfId="0" applyNumberFormat="1" applyFont="1" applyBorder="1" applyAlignment="1">
      <alignment horizontal="center"/>
    </xf>
    <xf numFmtId="0" fontId="7" fillId="0" borderId="7" xfId="0" applyNumberFormat="1" applyFont="1" applyBorder="1" applyAlignment="1">
      <alignment horizontal="left"/>
    </xf>
    <xf numFmtId="0" fontId="2" fillId="0" borderId="7" xfId="0" applyNumberFormat="1" applyFont="1" applyBorder="1" applyAlignment="1">
      <alignment horizontal="left" wrapText="1"/>
    </xf>
    <xf numFmtId="0" fontId="2" fillId="0" borderId="1" xfId="0" applyNumberFormat="1" applyFont="1" applyBorder="1" applyAlignment="1">
      <alignment horizontal="left" wrapText="1" indent="4"/>
    </xf>
    <xf numFmtId="0" fontId="2" fillId="0" borderId="2" xfId="0" applyNumberFormat="1" applyFont="1" applyBorder="1" applyAlignment="1">
      <alignment horizontal="left" wrapText="1" indent="4"/>
    </xf>
    <xf numFmtId="0" fontId="6" fillId="0" borderId="0" xfId="0" applyNumberFormat="1" applyFont="1" applyBorder="1" applyAlignment="1"/>
    <xf numFmtId="49" fontId="6" fillId="0" borderId="0" xfId="0" applyNumberFormat="1" applyFont="1" applyBorder="1" applyAlignment="1"/>
    <xf numFmtId="0" fontId="11" fillId="0" borderId="0" xfId="0" applyNumberFormat="1" applyFont="1" applyBorder="1" applyAlignment="1">
      <alignment horizontal="right"/>
    </xf>
    <xf numFmtId="0" fontId="2" fillId="0" borderId="0" xfId="0" applyNumberFormat="1" applyFont="1" applyBorder="1" applyAlignment="1"/>
    <xf numFmtId="49" fontId="2" fillId="0" borderId="0" xfId="0" applyNumberFormat="1" applyFont="1" applyBorder="1" applyAlignment="1"/>
    <xf numFmtId="0" fontId="11" fillId="0" borderId="10" xfId="0" applyNumberFormat="1" applyFont="1" applyBorder="1" applyAlignment="1"/>
    <xf numFmtId="49" fontId="2" fillId="0" borderId="14" xfId="0" applyNumberFormat="1" applyFont="1" applyBorder="1" applyAlignment="1">
      <alignment horizontal="center"/>
    </xf>
    <xf numFmtId="0" fontId="2" fillId="0" borderId="10" xfId="0" applyNumberFormat="1" applyFont="1" applyBorder="1" applyAlignment="1">
      <alignment horizontal="left"/>
    </xf>
    <xf numFmtId="0" fontId="7" fillId="0" borderId="0" xfId="0" applyNumberFormat="1" applyFont="1" applyBorder="1" applyAlignment="1"/>
    <xf numFmtId="0" fontId="2" fillId="0" borderId="12" xfId="0" applyNumberFormat="1" applyFont="1" applyBorder="1" applyAlignment="1">
      <alignment horizontal="right" wrapText="1" indent="3"/>
    </xf>
    <xf numFmtId="0" fontId="2" fillId="0" borderId="10" xfId="0" applyNumberFormat="1" applyFont="1" applyBorder="1" applyAlignment="1">
      <alignment horizontal="right" indent="3"/>
    </xf>
    <xf numFmtId="49" fontId="2" fillId="0" borderId="13" xfId="0" applyNumberFormat="1" applyFont="1" applyBorder="1" applyAlignment="1"/>
    <xf numFmtId="49" fontId="2" fillId="0" borderId="2" xfId="0" applyNumberFormat="1" applyFont="1" applyBorder="1" applyAlignment="1"/>
    <xf numFmtId="49" fontId="2" fillId="0" borderId="14" xfId="0" applyNumberFormat="1" applyFont="1" applyBorder="1" applyAlignment="1"/>
    <xf numFmtId="0" fontId="2" fillId="0" borderId="2" xfId="0" applyNumberFormat="1" applyFont="1" applyBorder="1" applyAlignment="1"/>
    <xf numFmtId="49" fontId="2" fillId="0" borderId="12" xfId="0" applyNumberFormat="1" applyFont="1" applyBorder="1" applyAlignment="1">
      <alignment horizontal="right" wrapText="1"/>
    </xf>
    <xf numFmtId="0" fontId="2" fillId="0" borderId="10" xfId="0" applyNumberFormat="1" applyFont="1" applyBorder="1" applyAlignment="1"/>
    <xf numFmtId="0" fontId="12" fillId="2" borderId="0" xfId="0" applyFont="1" applyFill="1"/>
    <xf numFmtId="0" fontId="2" fillId="2" borderId="0" xfId="0" applyFont="1" applyFill="1"/>
    <xf numFmtId="0" fontId="12" fillId="0" borderId="0" xfId="0" applyFont="1"/>
    <xf numFmtId="0" fontId="11" fillId="2" borderId="0" xfId="0" applyFont="1" applyFill="1"/>
    <xf numFmtId="0" fontId="11" fillId="0" borderId="0" xfId="0" applyFont="1"/>
    <xf numFmtId="0" fontId="13" fillId="2" borderId="0" xfId="0" applyNumberFormat="1" applyFont="1" applyFill="1" applyBorder="1" applyAlignment="1"/>
    <xf numFmtId="0" fontId="7" fillId="2" borderId="0" xfId="0" applyNumberFormat="1" applyFont="1" applyFill="1" applyBorder="1" applyAlignment="1"/>
    <xf numFmtId="0" fontId="14" fillId="0" borderId="0" xfId="0" applyNumberFormat="1" applyFont="1" applyBorder="1" applyAlignment="1">
      <alignment horizontal="left"/>
    </xf>
    <xf numFmtId="0" fontId="15" fillId="2" borderId="0" xfId="0" applyNumberFormat="1" applyFont="1" applyFill="1" applyBorder="1" applyAlignment="1">
      <alignment horizontal="center"/>
    </xf>
    <xf numFmtId="0" fontId="11" fillId="0" borderId="0" xfId="0" applyNumberFormat="1" applyFont="1" applyBorder="1" applyAlignment="1">
      <alignment horizontal="left"/>
    </xf>
    <xf numFmtId="0" fontId="15" fillId="2" borderId="0" xfId="0" applyNumberFormat="1" applyFont="1" applyFill="1" applyBorder="1" applyAlignment="1"/>
    <xf numFmtId="0" fontId="15" fillId="2" borderId="0" xfId="0" applyNumberFormat="1" applyFont="1" applyFill="1" applyBorder="1" applyAlignment="1">
      <alignment horizontal="left"/>
    </xf>
    <xf numFmtId="0" fontId="11" fillId="2" borderId="0" xfId="0" applyNumberFormat="1" applyFont="1" applyFill="1" applyBorder="1" applyAlignment="1">
      <alignment horizontal="left"/>
    </xf>
    <xf numFmtId="0" fontId="16" fillId="2" borderId="0" xfId="0" applyNumberFormat="1" applyFont="1" applyFill="1" applyBorder="1" applyAlignment="1">
      <alignment horizontal="left"/>
    </xf>
    <xf numFmtId="49" fontId="15" fillId="2" borderId="10" xfId="0" applyNumberFormat="1" applyFont="1" applyFill="1" applyBorder="1" applyAlignment="1"/>
    <xf numFmtId="0" fontId="15" fillId="0" borderId="0" xfId="0" applyNumberFormat="1" applyFont="1" applyBorder="1" applyAlignment="1">
      <alignment horizontal="left"/>
    </xf>
    <xf numFmtId="0" fontId="16" fillId="0" borderId="0" xfId="0" applyNumberFormat="1" applyFont="1" applyBorder="1" applyAlignment="1">
      <alignment horizontal="left"/>
    </xf>
    <xf numFmtId="0" fontId="15" fillId="2" borderId="10" xfId="0" applyNumberFormat="1" applyFont="1" applyFill="1" applyBorder="1" applyAlignment="1"/>
    <xf numFmtId="0" fontId="17" fillId="2" borderId="15" xfId="0" applyNumberFormat="1" applyFont="1" applyFill="1" applyBorder="1" applyAlignment="1">
      <alignment vertical="center" wrapText="1"/>
    </xf>
    <xf numFmtId="0" fontId="17" fillId="2" borderId="8" xfId="0" applyNumberFormat="1" applyFont="1" applyFill="1" applyBorder="1" applyAlignment="1">
      <alignment vertical="center" wrapText="1"/>
    </xf>
    <xf numFmtId="0" fontId="17" fillId="2" borderId="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0" fontId="2" fillId="2" borderId="16" xfId="0" applyNumberFormat="1" applyFont="1" applyFill="1" applyBorder="1" applyAlignment="1">
      <alignment vertical="center"/>
    </xf>
    <xf numFmtId="0" fontId="2" fillId="2" borderId="4" xfId="0" applyNumberFormat="1" applyFont="1" applyFill="1" applyBorder="1" applyAlignment="1">
      <alignment vertical="center"/>
    </xf>
    <xf numFmtId="0" fontId="2" fillId="2" borderId="4" xfId="0" applyNumberFormat="1" applyFont="1" applyFill="1" applyBorder="1" applyAlignment="1">
      <alignment horizontal="center" vertical="center"/>
    </xf>
    <xf numFmtId="0" fontId="11" fillId="0" borderId="0" xfId="0" applyNumberFormat="1" applyFont="1" applyBorder="1" applyAlignment="1">
      <alignment horizontal="center" vertical="top"/>
    </xf>
    <xf numFmtId="0" fontId="11" fillId="2" borderId="5" xfId="0" applyNumberFormat="1" applyFont="1" applyFill="1" applyBorder="1" applyAlignment="1">
      <alignment horizontal="left" wrapText="1"/>
    </xf>
    <xf numFmtId="0" fontId="11" fillId="2" borderId="7" xfId="0" applyNumberFormat="1" applyFont="1" applyFill="1" applyBorder="1" applyAlignment="1">
      <alignment horizontal="center" vertical="center"/>
    </xf>
    <xf numFmtId="4" fontId="11" fillId="2" borderId="17" xfId="0" applyNumberFormat="1" applyFont="1" applyFill="1" applyBorder="1" applyAlignment="1">
      <alignment vertical="center"/>
    </xf>
    <xf numFmtId="4" fontId="11" fillId="2" borderId="7" xfId="0" applyNumberFormat="1" applyFont="1" applyFill="1" applyBorder="1" applyAlignment="1">
      <alignment vertical="center"/>
    </xf>
    <xf numFmtId="4" fontId="11" fillId="2" borderId="7" xfId="0" applyNumberFormat="1" applyFont="1" applyFill="1" applyBorder="1" applyAlignment="1">
      <alignment horizontal="center" vertical="center"/>
    </xf>
    <xf numFmtId="0" fontId="11" fillId="2" borderId="13" xfId="0" applyNumberFormat="1" applyFont="1" applyFill="1" applyBorder="1" applyAlignment="1">
      <alignment horizontal="left" wrapText="1"/>
    </xf>
    <xf numFmtId="0" fontId="11" fillId="2" borderId="2" xfId="0" applyNumberFormat="1" applyFont="1" applyFill="1" applyBorder="1" applyAlignment="1">
      <alignment horizontal="center" vertical="center"/>
    </xf>
    <xf numFmtId="4" fontId="11" fillId="2" borderId="14" xfId="0" applyNumberFormat="1" applyFont="1" applyFill="1" applyBorder="1" applyAlignment="1">
      <alignment vertical="center"/>
    </xf>
    <xf numFmtId="4" fontId="11" fillId="2" borderId="8" xfId="0" applyNumberFormat="1" applyFont="1" applyFill="1" applyBorder="1" applyAlignment="1">
      <alignment vertical="center"/>
    </xf>
    <xf numFmtId="4" fontId="11" fillId="2" borderId="8" xfId="0" applyNumberFormat="1" applyFont="1" applyFill="1" applyBorder="1" applyAlignment="1">
      <alignment horizontal="center" vertical="center"/>
    </xf>
    <xf numFmtId="0" fontId="17" fillId="2" borderId="18" xfId="0" applyNumberFormat="1" applyFont="1" applyFill="1" applyBorder="1" applyAlignment="1">
      <alignment horizontal="center" vertical="center"/>
    </xf>
    <xf numFmtId="0" fontId="17" fillId="2" borderId="19" xfId="0" applyNumberFormat="1" applyFont="1" applyFill="1" applyBorder="1" applyAlignment="1">
      <alignment horizontal="center" vertical="center"/>
    </xf>
    <xf numFmtId="0" fontId="17" fillId="2" borderId="20" xfId="0" applyNumberFormat="1" applyFont="1" applyFill="1" applyBorder="1" applyAlignment="1">
      <alignment horizontal="center" vertical="center"/>
    </xf>
    <xf numFmtId="0" fontId="17" fillId="2" borderId="20" xfId="0" applyNumberFormat="1" applyFont="1" applyFill="1" applyBorder="1" applyAlignment="1">
      <alignment vertical="center"/>
    </xf>
    <xf numFmtId="0" fontId="17" fillId="2" borderId="19" xfId="0" applyNumberFormat="1" applyFont="1" applyFill="1" applyBorder="1" applyAlignment="1">
      <alignment vertical="center"/>
    </xf>
    <xf numFmtId="171" fontId="17" fillId="2" borderId="19" xfId="1" applyFont="1" applyFill="1" applyBorder="1" applyAlignment="1">
      <alignment horizontal="center" vertical="center"/>
    </xf>
    <xf numFmtId="174" fontId="17" fillId="2" borderId="19" xfId="1" applyNumberFormat="1" applyFont="1" applyFill="1" applyBorder="1" applyAlignment="1">
      <alignment horizontal="center" vertical="center"/>
    </xf>
    <xf numFmtId="171" fontId="17" fillId="2" borderId="19" xfId="0" applyNumberFormat="1" applyFont="1" applyFill="1" applyBorder="1" applyAlignment="1">
      <alignment horizontal="center" vertical="center"/>
    </xf>
    <xf numFmtId="0" fontId="11" fillId="0" borderId="0" xfId="0" applyNumberFormat="1" applyFont="1" applyBorder="1" applyAlignment="1">
      <alignment horizontal="left" vertical="center"/>
    </xf>
    <xf numFmtId="0" fontId="17" fillId="2" borderId="19" xfId="0" applyNumberFormat="1" applyFont="1" applyFill="1" applyBorder="1" applyAlignment="1">
      <alignment horizontal="center" vertical="center" wrapText="1"/>
    </xf>
    <xf numFmtId="4" fontId="17" fillId="2" borderId="19" xfId="0" applyNumberFormat="1" applyFont="1" applyFill="1" applyBorder="1" applyAlignment="1">
      <alignment horizontal="center" vertical="center"/>
    </xf>
    <xf numFmtId="0" fontId="2" fillId="2" borderId="3" xfId="0" applyNumberFormat="1" applyFont="1" applyFill="1" applyBorder="1" applyAlignment="1">
      <alignment vertical="center"/>
    </xf>
    <xf numFmtId="0" fontId="2" fillId="2" borderId="21" xfId="0" applyNumberFormat="1" applyFont="1" applyFill="1" applyBorder="1" applyAlignment="1">
      <alignment vertical="center"/>
    </xf>
    <xf numFmtId="0" fontId="2" fillId="2" borderId="22" xfId="0" applyNumberFormat="1" applyFont="1" applyFill="1" applyBorder="1" applyAlignment="1">
      <alignment vertical="center"/>
    </xf>
    <xf numFmtId="49" fontId="11" fillId="2" borderId="23" xfId="0" applyNumberFormat="1" applyFont="1" applyFill="1" applyBorder="1" applyAlignment="1">
      <alignment horizontal="center" vertical="center"/>
    </xf>
    <xf numFmtId="0" fontId="11" fillId="2" borderId="12" xfId="0" applyNumberFormat="1" applyFont="1" applyFill="1" applyBorder="1" applyAlignment="1">
      <alignment vertical="center" wrapText="1"/>
    </xf>
    <xf numFmtId="0" fontId="11" fillId="2" borderId="17" xfId="0" applyNumberFormat="1" applyFont="1" applyFill="1" applyBorder="1" applyAlignment="1">
      <alignment vertical="center"/>
    </xf>
    <xf numFmtId="43" fontId="11" fillId="2" borderId="7" xfId="0" applyNumberFormat="1" applyFont="1" applyFill="1" applyBorder="1" applyAlignment="1">
      <alignment horizontal="center" vertical="center"/>
    </xf>
    <xf numFmtId="0" fontId="11" fillId="2" borderId="4" xfId="0" applyNumberFormat="1" applyFont="1" applyFill="1" applyBorder="1" applyAlignment="1">
      <alignment horizontal="center" vertical="center"/>
    </xf>
    <xf numFmtId="171" fontId="11" fillId="2" borderId="7" xfId="1" applyFont="1" applyFill="1" applyBorder="1" applyAlignment="1">
      <alignment horizontal="center"/>
    </xf>
    <xf numFmtId="171" fontId="17" fillId="2" borderId="19" xfId="1" applyFont="1" applyFill="1" applyBorder="1" applyAlignment="1">
      <alignment horizontal="center"/>
    </xf>
    <xf numFmtId="1" fontId="17" fillId="2" borderId="19" xfId="0" applyNumberFormat="1" applyFont="1" applyFill="1" applyBorder="1" applyAlignment="1">
      <alignment horizontal="center"/>
    </xf>
    <xf numFmtId="0" fontId="11" fillId="2" borderId="17" xfId="0" applyNumberFormat="1" applyFont="1" applyFill="1" applyBorder="1" applyAlignment="1">
      <alignment horizontal="center" vertical="center" wrapText="1"/>
    </xf>
    <xf numFmtId="0" fontId="11" fillId="2" borderId="17" xfId="0" applyNumberFormat="1" applyFont="1" applyFill="1" applyBorder="1" applyAlignment="1">
      <alignment horizontal="center" vertical="center"/>
    </xf>
    <xf numFmtId="49" fontId="11" fillId="2" borderId="17" xfId="0" applyNumberFormat="1" applyFont="1" applyFill="1" applyBorder="1" applyAlignment="1">
      <alignment horizontal="center"/>
    </xf>
    <xf numFmtId="0" fontId="17" fillId="2" borderId="18" xfId="0" applyNumberFormat="1" applyFont="1" applyFill="1" applyBorder="1" applyAlignment="1">
      <alignment vertical="center" wrapText="1"/>
    </xf>
    <xf numFmtId="0" fontId="17" fillId="2" borderId="24" xfId="0" applyNumberFormat="1" applyFont="1" applyFill="1" applyBorder="1" applyAlignment="1">
      <alignment vertical="center" wrapText="1"/>
    </xf>
    <xf numFmtId="0" fontId="17" fillId="2" borderId="20" xfId="0" applyNumberFormat="1" applyFont="1" applyFill="1" applyBorder="1" applyAlignment="1">
      <alignment vertical="center" wrapText="1"/>
    </xf>
    <xf numFmtId="0" fontId="11" fillId="2" borderId="4" xfId="0" applyNumberFormat="1" applyFont="1" applyFill="1" applyBorder="1" applyAlignment="1">
      <alignment vertical="center"/>
    </xf>
    <xf numFmtId="0" fontId="11" fillId="2" borderId="21" xfId="0" applyNumberFormat="1" applyFont="1" applyFill="1" applyBorder="1" applyAlignment="1">
      <alignment vertical="center"/>
    </xf>
    <xf numFmtId="0" fontId="11" fillId="2" borderId="16" xfId="0" applyNumberFormat="1" applyFont="1" applyFill="1" applyBorder="1" applyAlignment="1">
      <alignment horizontal="center" vertical="center"/>
    </xf>
    <xf numFmtId="0" fontId="11" fillId="2" borderId="16" xfId="0" applyNumberFormat="1" applyFont="1" applyFill="1" applyBorder="1" applyAlignment="1">
      <alignment vertical="center"/>
    </xf>
    <xf numFmtId="0" fontId="11" fillId="2" borderId="17" xfId="0" applyNumberFormat="1" applyFont="1" applyFill="1" applyBorder="1" applyAlignment="1">
      <alignment horizontal="center"/>
    </xf>
    <xf numFmtId="0" fontId="11" fillId="2" borderId="17" xfId="0" applyNumberFormat="1" applyFont="1" applyFill="1" applyBorder="1" applyAlignment="1"/>
    <xf numFmtId="4" fontId="11" fillId="2" borderId="7" xfId="0" applyNumberFormat="1" applyFont="1" applyFill="1" applyBorder="1" applyAlignment="1">
      <alignment horizontal="center"/>
    </xf>
    <xf numFmtId="0" fontId="11" fillId="2" borderId="7" xfId="0" applyNumberFormat="1" applyFont="1" applyFill="1" applyBorder="1" applyAlignment="1">
      <alignment wrapText="1"/>
    </xf>
    <xf numFmtId="0" fontId="11" fillId="2" borderId="12" xfId="0" applyNumberFormat="1" applyFont="1" applyFill="1" applyBorder="1" applyAlignment="1">
      <alignment wrapText="1"/>
    </xf>
    <xf numFmtId="0" fontId="11" fillId="2" borderId="25" xfId="0" applyNumberFormat="1" applyFont="1" applyFill="1" applyBorder="1" applyAlignment="1">
      <alignment wrapText="1"/>
    </xf>
    <xf numFmtId="0" fontId="17" fillId="2" borderId="20" xfId="0" applyNumberFormat="1" applyFont="1" applyFill="1" applyBorder="1" applyAlignment="1">
      <alignment horizontal="center" vertical="center" wrapText="1"/>
    </xf>
    <xf numFmtId="0" fontId="11" fillId="2" borderId="21" xfId="0" applyNumberFormat="1" applyFont="1" applyFill="1" applyBorder="1" applyAlignment="1">
      <alignment horizontal="center" vertical="center"/>
    </xf>
    <xf numFmtId="0" fontId="11" fillId="2" borderId="22" xfId="0" applyNumberFormat="1" applyFont="1" applyFill="1" applyBorder="1" applyAlignment="1">
      <alignment horizontal="center" vertical="center"/>
    </xf>
    <xf numFmtId="0" fontId="11" fillId="2" borderId="26" xfId="0" applyNumberFormat="1" applyFont="1" applyFill="1" applyBorder="1" applyAlignment="1">
      <alignment horizontal="center" vertical="center"/>
    </xf>
    <xf numFmtId="0" fontId="2" fillId="2" borderId="26" xfId="0" applyNumberFormat="1" applyFont="1" applyFill="1" applyBorder="1" applyAlignment="1">
      <alignment horizontal="center" vertical="center"/>
    </xf>
    <xf numFmtId="0" fontId="11" fillId="2" borderId="7" xfId="0" applyNumberFormat="1" applyFont="1" applyFill="1" applyBorder="1" applyAlignment="1">
      <alignment vertical="center" wrapText="1"/>
    </xf>
    <xf numFmtId="0" fontId="11" fillId="2" borderId="25" xfId="0" applyNumberFormat="1" applyFont="1" applyFill="1" applyBorder="1" applyAlignment="1">
      <alignment vertical="center" wrapText="1"/>
    </xf>
    <xf numFmtId="4" fontId="17" fillId="2" borderId="19" xfId="0" applyNumberFormat="1" applyFont="1" applyFill="1" applyBorder="1" applyAlignment="1">
      <alignment horizontal="center"/>
    </xf>
    <xf numFmtId="171" fontId="2" fillId="0" borderId="0" xfId="1" applyFont="1" applyBorder="1" applyAlignment="1">
      <alignment horizontal="left"/>
    </xf>
    <xf numFmtId="171" fontId="4" fillId="0" borderId="0" xfId="1" applyFont="1" applyBorder="1" applyAlignment="1">
      <alignment horizontal="left"/>
    </xf>
    <xf numFmtId="171" fontId="5" fillId="0" borderId="0" xfId="1" applyFont="1" applyBorder="1" applyAlignment="1">
      <alignment horizontal="left"/>
    </xf>
    <xf numFmtId="171" fontId="6" fillId="0" borderId="0" xfId="1" applyFont="1" applyBorder="1" applyAlignment="1">
      <alignment horizontal="left"/>
    </xf>
    <xf numFmtId="171" fontId="11" fillId="0" borderId="10" xfId="1" applyFont="1" applyBorder="1" applyAlignment="1">
      <alignment horizontal="right"/>
    </xf>
    <xf numFmtId="171" fontId="2" fillId="0" borderId="2" xfId="1" applyFont="1" applyBorder="1" applyAlignment="1">
      <alignment horizontal="center"/>
    </xf>
    <xf numFmtId="171" fontId="2" fillId="0" borderId="1" xfId="1" applyFont="1" applyBorder="1" applyAlignment="1">
      <alignment horizontal="center" vertical="top" wrapText="1"/>
    </xf>
    <xf numFmtId="171" fontId="2" fillId="0" borderId="2" xfId="1" applyFont="1" applyBorder="1" applyAlignment="1">
      <alignment horizontal="center" vertical="top"/>
    </xf>
    <xf numFmtId="171" fontId="2" fillId="0" borderId="4" xfId="1" applyFont="1" applyBorder="1" applyAlignment="1">
      <alignment horizontal="center"/>
    </xf>
    <xf numFmtId="171" fontId="2" fillId="0" borderId="7" xfId="1" applyFont="1" applyBorder="1" applyAlignment="1">
      <alignment horizontal="center"/>
    </xf>
    <xf numFmtId="171" fontId="2" fillId="0" borderId="1" xfId="1" applyFont="1" applyBorder="1" applyAlignment="1">
      <alignment horizontal="center"/>
    </xf>
    <xf numFmtId="171" fontId="2" fillId="0" borderId="8" xfId="1" applyFont="1" applyBorder="1" applyAlignment="1">
      <alignment horizontal="center"/>
    </xf>
    <xf numFmtId="171" fontId="2" fillId="0" borderId="14" xfId="1" applyFont="1" applyBorder="1" applyAlignment="1"/>
    <xf numFmtId="171" fontId="2" fillId="3" borderId="7" xfId="1" applyFont="1" applyFill="1" applyBorder="1" applyAlignment="1">
      <alignment horizontal="center"/>
    </xf>
    <xf numFmtId="171" fontId="2" fillId="4" borderId="7" xfId="1" applyFont="1" applyFill="1" applyBorder="1" applyAlignment="1">
      <alignment horizontal="center"/>
    </xf>
    <xf numFmtId="171" fontId="2" fillId="5" borderId="7" xfId="1" applyFont="1" applyFill="1" applyBorder="1" applyAlignment="1">
      <alignment horizontal="center"/>
    </xf>
    <xf numFmtId="171" fontId="2" fillId="5" borderId="1" xfId="1" applyFont="1" applyFill="1" applyBorder="1" applyAlignment="1">
      <alignment horizontal="center"/>
    </xf>
    <xf numFmtId="0" fontId="2" fillId="0" borderId="10" xfId="0" applyNumberFormat="1" applyFont="1" applyBorder="1" applyAlignment="1">
      <alignment horizontal="right"/>
    </xf>
    <xf numFmtId="171" fontId="2" fillId="5" borderId="2" xfId="1" applyFont="1" applyFill="1" applyBorder="1" applyAlignment="1"/>
    <xf numFmtId="171" fontId="2" fillId="3" borderId="2" xfId="1" applyFont="1" applyFill="1" applyBorder="1" applyAlignment="1"/>
    <xf numFmtId="49" fontId="2" fillId="2" borderId="7" xfId="0" applyNumberFormat="1" applyFont="1" applyFill="1" applyBorder="1" applyAlignment="1">
      <alignment horizontal="center"/>
    </xf>
    <xf numFmtId="0" fontId="17" fillId="2" borderId="0" xfId="0" applyNumberFormat="1" applyFont="1" applyFill="1" applyBorder="1" applyAlignment="1">
      <alignment horizontal="center"/>
    </xf>
    <xf numFmtId="171" fontId="22" fillId="2" borderId="0" xfId="1" applyFont="1" applyFill="1" applyBorder="1" applyAlignment="1">
      <alignment horizontal="right"/>
    </xf>
    <xf numFmtId="0" fontId="11" fillId="0" borderId="0" xfId="0" applyNumberFormat="1" applyFont="1" applyBorder="1" applyAlignment="1">
      <alignment vertical="center"/>
    </xf>
    <xf numFmtId="171" fontId="12" fillId="0" borderId="0" xfId="1" applyFont="1"/>
    <xf numFmtId="171" fontId="11" fillId="0" borderId="0" xfId="1" applyFont="1"/>
    <xf numFmtId="171" fontId="14" fillId="0" borderId="0" xfId="1" applyFont="1" applyBorder="1" applyAlignment="1">
      <alignment horizontal="left"/>
    </xf>
    <xf numFmtId="171" fontId="11" fillId="0" borderId="0" xfId="1" applyFont="1" applyBorder="1" applyAlignment="1">
      <alignment horizontal="left"/>
    </xf>
    <xf numFmtId="171" fontId="15" fillId="0" borderId="0" xfId="1" applyFont="1" applyBorder="1" applyAlignment="1">
      <alignment horizontal="left"/>
    </xf>
    <xf numFmtId="171" fontId="16" fillId="0" borderId="0" xfId="1" applyFont="1" applyBorder="1" applyAlignment="1">
      <alignment horizontal="left"/>
    </xf>
    <xf numFmtId="171" fontId="11" fillId="0" borderId="0" xfId="1" applyFont="1" applyBorder="1" applyAlignment="1">
      <alignment horizontal="center" vertical="top"/>
    </xf>
    <xf numFmtId="171" fontId="11" fillId="0" borderId="0" xfId="1" applyFont="1" applyBorder="1" applyAlignment="1">
      <alignment horizontal="left" vertical="center"/>
    </xf>
    <xf numFmtId="171" fontId="23" fillId="0" borderId="0" xfId="1" applyFont="1" applyBorder="1" applyAlignment="1">
      <alignment horizontal="left" vertical="center"/>
    </xf>
    <xf numFmtId="43" fontId="23" fillId="2" borderId="0" xfId="0" applyNumberFormat="1" applyFont="1" applyFill="1"/>
    <xf numFmtId="49" fontId="2" fillId="0" borderId="9" xfId="0" applyNumberFormat="1" applyFont="1" applyBorder="1" applyAlignment="1"/>
    <xf numFmtId="49" fontId="2" fillId="0" borderId="16" xfId="0" applyNumberFormat="1" applyFont="1" applyBorder="1" applyAlignment="1"/>
    <xf numFmtId="171" fontId="2" fillId="5" borderId="16" xfId="1" applyFont="1" applyFill="1" applyBorder="1" applyAlignment="1"/>
    <xf numFmtId="171" fontId="2" fillId="2" borderId="14" xfId="1" applyFont="1" applyFill="1" applyBorder="1" applyAlignment="1"/>
    <xf numFmtId="171" fontId="2" fillId="4" borderId="1" xfId="1" applyFont="1" applyFill="1" applyBorder="1" applyAlignment="1">
      <alignment horizontal="center"/>
    </xf>
    <xf numFmtId="171" fontId="2" fillId="4" borderId="14" xfId="1" applyFont="1" applyFill="1" applyBorder="1" applyAlignment="1">
      <alignment horizontal="center"/>
    </xf>
    <xf numFmtId="171" fontId="2" fillId="2" borderId="4" xfId="1" applyFont="1" applyFill="1" applyBorder="1" applyAlignment="1">
      <alignment horizontal="center"/>
    </xf>
    <xf numFmtId="171" fontId="2" fillId="3" borderId="1" xfId="1" applyFont="1" applyFill="1" applyBorder="1" applyAlignment="1">
      <alignment horizontal="center"/>
    </xf>
    <xf numFmtId="49" fontId="7" fillId="6" borderId="5" xfId="0" applyNumberFormat="1" applyFont="1" applyFill="1" applyBorder="1" applyAlignment="1">
      <alignment horizontal="center"/>
    </xf>
    <xf numFmtId="49" fontId="7" fillId="6" borderId="7" xfId="0" applyNumberFormat="1" applyFont="1" applyFill="1" applyBorder="1" applyAlignment="1">
      <alignment horizontal="center"/>
    </xf>
    <xf numFmtId="49" fontId="2" fillId="6" borderId="7" xfId="0" applyNumberFormat="1" applyFont="1" applyFill="1" applyBorder="1" applyAlignment="1">
      <alignment horizontal="center"/>
    </xf>
    <xf numFmtId="171" fontId="2" fillId="6" borderId="7" xfId="1" applyFont="1" applyFill="1" applyBorder="1" applyAlignment="1">
      <alignment horizontal="center"/>
    </xf>
    <xf numFmtId="0" fontId="2" fillId="6" borderId="7" xfId="0" applyNumberFormat="1" applyFont="1" applyFill="1" applyBorder="1" applyAlignment="1">
      <alignment horizontal="center"/>
    </xf>
    <xf numFmtId="49" fontId="7" fillId="7" borderId="5" xfId="0" applyNumberFormat="1" applyFont="1" applyFill="1" applyBorder="1" applyAlignment="1">
      <alignment horizontal="center"/>
    </xf>
    <xf numFmtId="49" fontId="7" fillId="7" borderId="7" xfId="0" applyNumberFormat="1" applyFont="1" applyFill="1" applyBorder="1" applyAlignment="1">
      <alignment horizontal="center"/>
    </xf>
    <xf numFmtId="49" fontId="2" fillId="7" borderId="7" xfId="0" applyNumberFormat="1" applyFont="1" applyFill="1" applyBorder="1" applyAlignment="1">
      <alignment horizontal="center"/>
    </xf>
    <xf numFmtId="171" fontId="2" fillId="7" borderId="7" xfId="1" applyFont="1" applyFill="1" applyBorder="1" applyAlignment="1">
      <alignment horizontal="center"/>
    </xf>
    <xf numFmtId="0" fontId="2" fillId="7" borderId="7" xfId="0" applyNumberFormat="1" applyFont="1" applyFill="1" applyBorder="1" applyAlignment="1">
      <alignment horizontal="center"/>
    </xf>
    <xf numFmtId="171" fontId="2" fillId="3" borderId="7" xfId="1" applyFont="1" applyFill="1" applyBorder="1" applyAlignment="1">
      <alignment horizontal="center" vertical="center"/>
    </xf>
    <xf numFmtId="171" fontId="2" fillId="0" borderId="7" xfId="1" applyFont="1" applyBorder="1" applyAlignment="1">
      <alignment horizontal="center" vertical="center"/>
    </xf>
    <xf numFmtId="49" fontId="17" fillId="0" borderId="0" xfId="0" applyNumberFormat="1" applyFont="1" applyBorder="1" applyAlignment="1">
      <alignment horizontal="right"/>
    </xf>
    <xf numFmtId="0" fontId="2" fillId="8" borderId="7" xfId="0" applyNumberFormat="1" applyFont="1" applyFill="1" applyBorder="1" applyAlignment="1">
      <alignment horizontal="left" wrapText="1" indent="3"/>
    </xf>
    <xf numFmtId="0" fontId="2" fillId="8" borderId="7" xfId="0" applyNumberFormat="1" applyFont="1" applyFill="1" applyBorder="1" applyAlignment="1">
      <alignment horizontal="left" wrapText="1" indent="2"/>
    </xf>
    <xf numFmtId="0" fontId="2" fillId="8" borderId="7" xfId="0" applyNumberFormat="1" applyFont="1" applyFill="1" applyBorder="1" applyAlignment="1">
      <alignment horizontal="left" wrapText="1"/>
    </xf>
    <xf numFmtId="0" fontId="2" fillId="8" borderId="2" xfId="0" applyNumberFormat="1" applyFont="1" applyFill="1" applyBorder="1" applyAlignment="1">
      <alignment horizontal="left" wrapText="1" indent="4"/>
    </xf>
    <xf numFmtId="0" fontId="2" fillId="8" borderId="1" xfId="0" applyNumberFormat="1" applyFont="1" applyFill="1" applyBorder="1" applyAlignment="1">
      <alignment horizontal="left" wrapText="1" indent="4"/>
    </xf>
    <xf numFmtId="49" fontId="2" fillId="8" borderId="12" xfId="0" applyNumberFormat="1" applyFont="1" applyFill="1" applyBorder="1" applyAlignment="1">
      <alignment horizontal="center"/>
    </xf>
    <xf numFmtId="49" fontId="2" fillId="8" borderId="5" xfId="0" applyNumberFormat="1" applyFont="1" applyFill="1" applyBorder="1" applyAlignment="1">
      <alignment horizontal="center"/>
    </xf>
    <xf numFmtId="49" fontId="2" fillId="8" borderId="7" xfId="0" applyNumberFormat="1" applyFont="1" applyFill="1" applyBorder="1" applyAlignment="1">
      <alignment horizontal="center"/>
    </xf>
    <xf numFmtId="0" fontId="2" fillId="8" borderId="7" xfId="0" applyNumberFormat="1" applyFont="1" applyFill="1" applyBorder="1" applyAlignment="1">
      <alignment horizontal="center"/>
    </xf>
    <xf numFmtId="4" fontId="11" fillId="2" borderId="7" xfId="0" applyNumberFormat="1" applyFont="1" applyFill="1" applyBorder="1" applyAlignment="1">
      <alignment horizontal="center" vertical="center"/>
    </xf>
    <xf numFmtId="0" fontId="11" fillId="2" borderId="17" xfId="0" applyNumberFormat="1" applyFont="1" applyFill="1" applyBorder="1" applyAlignment="1">
      <alignment horizontal="center" vertical="center"/>
    </xf>
    <xf numFmtId="171" fontId="2" fillId="2" borderId="7" xfId="1" applyFont="1" applyFill="1" applyBorder="1" applyAlignment="1">
      <alignment horizontal="center"/>
    </xf>
    <xf numFmtId="0" fontId="11" fillId="6" borderId="7" xfId="0" applyNumberFormat="1" applyFont="1" applyFill="1" applyBorder="1" applyAlignment="1">
      <alignment wrapText="1"/>
    </xf>
    <xf numFmtId="180" fontId="22" fillId="2" borderId="0" xfId="1" applyNumberFormat="1" applyFont="1" applyFill="1" applyBorder="1" applyAlignment="1">
      <alignment horizontal="right"/>
    </xf>
    <xf numFmtId="0" fontId="2" fillId="2" borderId="16" xfId="0" applyNumberFormat="1" applyFont="1" applyFill="1" applyBorder="1" applyAlignment="1">
      <alignment horizontal="center" vertical="center"/>
    </xf>
    <xf numFmtId="49" fontId="2" fillId="9" borderId="12" xfId="0" applyNumberFormat="1" applyFont="1" applyFill="1" applyBorder="1" applyAlignment="1">
      <alignment horizontal="center"/>
    </xf>
    <xf numFmtId="0" fontId="2" fillId="9" borderId="7" xfId="0" applyNumberFormat="1" applyFont="1" applyFill="1" applyBorder="1" applyAlignment="1">
      <alignment horizontal="left" wrapText="1" indent="1"/>
    </xf>
    <xf numFmtId="49" fontId="2" fillId="9" borderId="5" xfId="0" applyNumberFormat="1" applyFont="1" applyFill="1" applyBorder="1" applyAlignment="1">
      <alignment horizontal="center"/>
    </xf>
    <xf numFmtId="49" fontId="2" fillId="9" borderId="7" xfId="0" applyNumberFormat="1" applyFont="1" applyFill="1" applyBorder="1" applyAlignment="1">
      <alignment horizontal="center"/>
    </xf>
    <xf numFmtId="0" fontId="2" fillId="9" borderId="7" xfId="0" applyNumberFormat="1" applyFont="1" applyFill="1" applyBorder="1" applyAlignment="1">
      <alignment horizontal="center"/>
    </xf>
    <xf numFmtId="49" fontId="2" fillId="6" borderId="12" xfId="0" applyNumberFormat="1" applyFont="1" applyFill="1" applyBorder="1" applyAlignment="1">
      <alignment horizontal="center"/>
    </xf>
    <xf numFmtId="0" fontId="2" fillId="6" borderId="7" xfId="0" applyNumberFormat="1" applyFont="1" applyFill="1" applyBorder="1" applyAlignment="1">
      <alignment horizontal="left" wrapText="1" indent="1"/>
    </xf>
    <xf numFmtId="49" fontId="2" fillId="6" borderId="5" xfId="0" applyNumberFormat="1" applyFont="1" applyFill="1" applyBorder="1" applyAlignment="1">
      <alignment horizontal="center"/>
    </xf>
    <xf numFmtId="0" fontId="2" fillId="6" borderId="7" xfId="0" applyNumberFormat="1" applyFont="1" applyFill="1" applyBorder="1" applyAlignment="1">
      <alignment horizontal="left" wrapText="1" indent="2"/>
    </xf>
    <xf numFmtId="0" fontId="2" fillId="6" borderId="7" xfId="0" applyNumberFormat="1" applyFont="1" applyFill="1" applyBorder="1" applyAlignment="1">
      <alignment horizontal="left" wrapText="1" indent="3"/>
    </xf>
    <xf numFmtId="49" fontId="2" fillId="6" borderId="6" xfId="0" applyNumberFormat="1" applyFont="1" applyFill="1" applyBorder="1" applyAlignment="1">
      <alignment horizontal="center"/>
    </xf>
    <xf numFmtId="49" fontId="2" fillId="6" borderId="8" xfId="0" applyNumberFormat="1" applyFont="1" applyFill="1" applyBorder="1" applyAlignment="1">
      <alignment horizontal="center"/>
    </xf>
    <xf numFmtId="49" fontId="2" fillId="6" borderId="3" xfId="0" applyNumberFormat="1" applyFont="1" applyFill="1" applyBorder="1" applyAlignment="1">
      <alignment horizontal="center"/>
    </xf>
    <xf numFmtId="49" fontId="2" fillId="6" borderId="4" xfId="0" applyNumberFormat="1" applyFont="1" applyFill="1" applyBorder="1" applyAlignment="1">
      <alignment horizontal="center"/>
    </xf>
    <xf numFmtId="0" fontId="12" fillId="0" borderId="0" xfId="0" applyFont="1" applyFill="1"/>
    <xf numFmtId="0" fontId="11" fillId="0" borderId="0" xfId="0" applyFont="1" applyFill="1"/>
    <xf numFmtId="0" fontId="14"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15" fillId="0" borderId="0" xfId="0" applyNumberFormat="1" applyFont="1" applyFill="1" applyBorder="1" applyAlignment="1">
      <alignment horizontal="left"/>
    </xf>
    <xf numFmtId="0" fontId="16"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1" fillId="0" borderId="0" xfId="0" applyNumberFormat="1" applyFont="1" applyFill="1" applyBorder="1" applyAlignment="1">
      <alignment horizontal="left" vertical="center"/>
    </xf>
    <xf numFmtId="0" fontId="11" fillId="0" borderId="0" xfId="0" applyNumberFormat="1" applyFont="1" applyFill="1" applyBorder="1" applyAlignment="1">
      <alignment vertical="center"/>
    </xf>
    <xf numFmtId="43" fontId="16" fillId="0" borderId="0" xfId="0" applyNumberFormat="1" applyFont="1" applyFill="1" applyBorder="1" applyAlignment="1">
      <alignment horizontal="left"/>
    </xf>
    <xf numFmtId="43" fontId="11" fillId="0" borderId="0" xfId="0" applyNumberFormat="1" applyFont="1" applyFill="1" applyBorder="1" applyAlignment="1">
      <alignment horizontal="left"/>
    </xf>
    <xf numFmtId="4" fontId="17" fillId="2" borderId="17" xfId="0" applyNumberFormat="1" applyFont="1" applyFill="1" applyBorder="1" applyAlignment="1">
      <alignment horizontal="center" vertical="center"/>
    </xf>
    <xf numFmtId="0" fontId="17" fillId="2" borderId="27"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xf>
    <xf numFmtId="0" fontId="11" fillId="6" borderId="0" xfId="0" applyNumberFormat="1" applyFont="1" applyFill="1" applyBorder="1" applyAlignment="1">
      <alignment horizontal="center" vertical="center"/>
    </xf>
    <xf numFmtId="0" fontId="11" fillId="10" borderId="0" xfId="0" applyNumberFormat="1" applyFont="1" applyFill="1" applyBorder="1" applyAlignment="1">
      <alignment horizontal="center" vertical="center"/>
    </xf>
    <xf numFmtId="0" fontId="16" fillId="10" borderId="0" xfId="0" applyNumberFormat="1" applyFont="1" applyFill="1" applyBorder="1" applyAlignment="1">
      <alignment horizontal="center"/>
    </xf>
    <xf numFmtId="0" fontId="11" fillId="11" borderId="0" xfId="0" applyNumberFormat="1" applyFont="1" applyFill="1" applyBorder="1" applyAlignment="1">
      <alignment horizontal="center" vertical="center"/>
    </xf>
    <xf numFmtId="0" fontId="16" fillId="6" borderId="0" xfId="0" applyNumberFormat="1" applyFont="1" applyFill="1" applyBorder="1" applyAlignment="1">
      <alignment horizontal="center"/>
    </xf>
    <xf numFmtId="0" fontId="11" fillId="6" borderId="0" xfId="0" applyNumberFormat="1" applyFont="1" applyFill="1" applyBorder="1" applyAlignment="1">
      <alignment horizontal="center" vertical="top"/>
    </xf>
    <xf numFmtId="0" fontId="11" fillId="11" borderId="0" xfId="0" applyNumberFormat="1" applyFont="1" applyFill="1" applyBorder="1" applyAlignment="1">
      <alignment horizontal="center" vertical="top"/>
    </xf>
    <xf numFmtId="0" fontId="11" fillId="12" borderId="0" xfId="0" applyNumberFormat="1" applyFont="1" applyFill="1" applyBorder="1" applyAlignment="1">
      <alignment horizontal="center" vertical="center"/>
    </xf>
    <xf numFmtId="0" fontId="16" fillId="12" borderId="0" xfId="0" applyNumberFormat="1" applyFont="1" applyFill="1" applyBorder="1" applyAlignment="1">
      <alignment horizontal="center"/>
    </xf>
    <xf numFmtId="4" fontId="2" fillId="2" borderId="4" xfId="0" applyNumberFormat="1" applyFont="1" applyFill="1" applyBorder="1" applyAlignment="1">
      <alignment horizontal="center"/>
    </xf>
    <xf numFmtId="4" fontId="2" fillId="6" borderId="8" xfId="0" applyNumberFormat="1" applyFont="1" applyFill="1" applyBorder="1" applyAlignment="1">
      <alignment horizontal="center"/>
    </xf>
    <xf numFmtId="4" fontId="2" fillId="0" borderId="4" xfId="0" applyNumberFormat="1" applyFont="1" applyBorder="1" applyAlignment="1">
      <alignment horizontal="center"/>
    </xf>
    <xf numFmtId="4" fontId="2" fillId="2" borderId="7" xfId="0" applyNumberFormat="1" applyFont="1" applyFill="1" applyBorder="1" applyAlignment="1">
      <alignment horizontal="center"/>
    </xf>
    <xf numFmtId="4" fontId="2" fillId="6" borderId="7" xfId="0" applyNumberFormat="1" applyFont="1" applyFill="1" applyBorder="1" applyAlignment="1">
      <alignment horizontal="center"/>
    </xf>
    <xf numFmtId="0" fontId="2" fillId="2" borderId="1" xfId="0" applyNumberFormat="1" applyFont="1" applyFill="1" applyBorder="1" applyAlignment="1">
      <alignment horizontal="center" vertical="center"/>
    </xf>
    <xf numFmtId="0" fontId="2" fillId="2" borderId="10" xfId="0" applyNumberFormat="1" applyFont="1" applyFill="1" applyBorder="1" applyAlignment="1">
      <alignment horizontal="center" vertical="center"/>
    </xf>
    <xf numFmtId="0" fontId="2" fillId="2" borderId="28"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10"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10"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xf>
    <xf numFmtId="0" fontId="11" fillId="2" borderId="1" xfId="0" applyNumberFormat="1" applyFont="1" applyFill="1" applyBorder="1" applyAlignment="1">
      <alignment horizontal="left" vertical="center"/>
    </xf>
    <xf numFmtId="4" fontId="2" fillId="0" borderId="0" xfId="0" applyNumberFormat="1" applyFont="1" applyBorder="1" applyAlignment="1"/>
    <xf numFmtId="0" fontId="11" fillId="2" borderId="28" xfId="0" applyNumberFormat="1" applyFont="1" applyFill="1" applyBorder="1" applyAlignment="1">
      <alignment horizontal="center" vertical="center"/>
    </xf>
    <xf numFmtId="4" fontId="22" fillId="0" borderId="0" xfId="0" applyNumberFormat="1" applyFont="1" applyBorder="1" applyAlignment="1">
      <alignment horizontal="left"/>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11" fillId="0" borderId="41" xfId="0" applyFont="1" applyBorder="1" applyAlignment="1">
      <alignment vertical="center" wrapText="1"/>
    </xf>
    <xf numFmtId="0" fontId="11" fillId="0" borderId="42" xfId="0" applyFont="1" applyBorder="1" applyAlignment="1">
      <alignment vertical="center" wrapText="1"/>
    </xf>
    <xf numFmtId="0" fontId="25" fillId="0" borderId="42" xfId="0" applyFont="1" applyBorder="1" applyAlignment="1">
      <alignment horizontal="center" vertical="center" wrapText="1"/>
    </xf>
    <xf numFmtId="0" fontId="24" fillId="0" borderId="41" xfId="0" applyFont="1" applyBorder="1" applyAlignment="1">
      <alignment vertical="center" wrapText="1"/>
    </xf>
    <xf numFmtId="0" fontId="24" fillId="0" borderId="42" xfId="0" applyFont="1" applyBorder="1" applyAlignment="1">
      <alignment horizontal="right" vertical="center" wrapText="1"/>
    </xf>
    <xf numFmtId="0" fontId="11" fillId="0" borderId="41" xfId="0" applyFont="1" applyBorder="1" applyAlignment="1">
      <alignment vertical="top" wrapText="1"/>
    </xf>
    <xf numFmtId="0" fontId="11" fillId="0" borderId="42" xfId="0" applyFont="1" applyBorder="1" applyAlignment="1">
      <alignment vertical="top"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5" fillId="2" borderId="0" xfId="0" applyFont="1" applyFill="1"/>
    <xf numFmtId="49" fontId="2" fillId="0" borderId="29" xfId="0" applyNumberFormat="1" applyFont="1" applyBorder="1" applyAlignment="1">
      <alignment horizontal="center"/>
    </xf>
    <xf numFmtId="0" fontId="2" fillId="2" borderId="4"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0" fontId="15" fillId="2" borderId="0" xfId="0" applyNumberFormat="1" applyFont="1" applyFill="1" applyBorder="1" applyAlignment="1">
      <alignment horizontal="center"/>
    </xf>
    <xf numFmtId="0" fontId="11" fillId="2" borderId="7" xfId="0" applyNumberFormat="1" applyFont="1" applyFill="1" applyBorder="1" applyAlignment="1">
      <alignment horizontal="center" vertical="center" wrapText="1"/>
    </xf>
    <xf numFmtId="0" fontId="11" fillId="2" borderId="17" xfId="0" applyNumberFormat="1" applyFont="1" applyFill="1" applyBorder="1" applyAlignment="1">
      <alignment horizontal="center" vertical="center"/>
    </xf>
    <xf numFmtId="4" fontId="11" fillId="2" borderId="17" xfId="0" applyNumberFormat="1" applyFont="1" applyFill="1" applyBorder="1" applyAlignment="1">
      <alignment horizontal="center" vertical="center"/>
    </xf>
    <xf numFmtId="0" fontId="15" fillId="2" borderId="0" xfId="0" applyNumberFormat="1" applyFont="1" applyFill="1" applyBorder="1" applyAlignment="1">
      <alignment horizontal="center" wrapText="1"/>
    </xf>
    <xf numFmtId="0" fontId="12" fillId="2" borderId="0" xfId="0" applyFont="1" applyFill="1" applyAlignment="1">
      <alignment horizontal="justify" wrapText="1"/>
    </xf>
    <xf numFmtId="0" fontId="11" fillId="2" borderId="4"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7" xfId="0" applyNumberFormat="1" applyFont="1" applyFill="1" applyBorder="1" applyAlignment="1">
      <alignment horizontal="center"/>
    </xf>
    <xf numFmtId="0" fontId="11" fillId="2" borderId="7" xfId="0" applyNumberFormat="1" applyFont="1" applyFill="1" applyBorder="1" applyAlignment="1">
      <alignment horizontal="center" vertical="center"/>
    </xf>
    <xf numFmtId="0" fontId="11" fillId="2" borderId="17" xfId="0" applyNumberFormat="1" applyFont="1" applyFill="1" applyBorder="1" applyAlignment="1">
      <alignment horizontal="center" vertical="center" wrapText="1"/>
    </xf>
    <xf numFmtId="0" fontId="17" fillId="2" borderId="19"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xf>
    <xf numFmtId="4" fontId="11" fillId="2" borderId="7" xfId="0" applyNumberFormat="1" applyFont="1" applyFill="1" applyBorder="1" applyAlignment="1">
      <alignment horizontal="center"/>
    </xf>
    <xf numFmtId="0" fontId="27" fillId="0" borderId="43"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46" xfId="0" applyFont="1" applyBorder="1" applyAlignment="1">
      <alignment horizontal="center" vertical="center" wrapText="1"/>
    </xf>
    <xf numFmtId="0" fontId="20" fillId="0" borderId="41" xfId="0" applyFont="1" applyBorder="1" applyAlignment="1">
      <alignment vertical="center" wrapText="1"/>
    </xf>
    <xf numFmtId="0" fontId="20" fillId="0" borderId="42" xfId="0" applyFont="1" applyBorder="1" applyAlignment="1">
      <alignment vertical="center" wrapText="1"/>
    </xf>
    <xf numFmtId="0" fontId="27" fillId="0" borderId="42" xfId="0" applyFont="1" applyBorder="1" applyAlignment="1">
      <alignment horizontal="center" vertical="center" wrapText="1"/>
    </xf>
    <xf numFmtId="0" fontId="27" fillId="0" borderId="41" xfId="0" applyFont="1" applyBorder="1" applyAlignment="1">
      <alignment horizontal="center" vertical="center" wrapText="1"/>
    </xf>
    <xf numFmtId="49" fontId="15" fillId="2" borderId="0" xfId="0" applyNumberFormat="1" applyFont="1" applyFill="1" applyBorder="1" applyAlignment="1">
      <alignment horizontal="left"/>
    </xf>
    <xf numFmtId="0" fontId="15" fillId="2" borderId="0" xfId="0" applyNumberFormat="1" applyFont="1" applyFill="1" applyBorder="1" applyAlignment="1">
      <alignment horizontal="left" wrapText="1"/>
    </xf>
    <xf numFmtId="4" fontId="11" fillId="2" borderId="15" xfId="0" applyNumberFormat="1" applyFont="1" applyFill="1" applyBorder="1" applyAlignment="1">
      <alignment horizontal="center" vertical="center"/>
    </xf>
    <xf numFmtId="49" fontId="2" fillId="0" borderId="30" xfId="0" applyNumberFormat="1" applyFont="1" applyBorder="1" applyAlignment="1"/>
    <xf numFmtId="49" fontId="2" fillId="0" borderId="31" xfId="0" applyNumberFormat="1" applyFont="1" applyBorder="1" applyAlignment="1"/>
    <xf numFmtId="171" fontId="2" fillId="5" borderId="31" xfId="1" applyFont="1" applyFill="1" applyBorder="1" applyAlignment="1"/>
    <xf numFmtId="0" fontId="11" fillId="2" borderId="42" xfId="0" applyFont="1" applyFill="1" applyBorder="1" applyAlignment="1">
      <alignment vertical="center" wrapText="1"/>
    </xf>
    <xf numFmtId="171" fontId="11" fillId="13" borderId="42" xfId="1" applyFont="1" applyFill="1" applyBorder="1" applyAlignment="1">
      <alignment vertical="center" wrapText="1"/>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4" fontId="11" fillId="2" borderId="7" xfId="0" applyNumberFormat="1" applyFont="1" applyFill="1" applyBorder="1" applyAlignment="1">
      <alignment horizontal="center" vertical="center"/>
    </xf>
    <xf numFmtId="4" fontId="17" fillId="2" borderId="7" xfId="1" applyNumberFormat="1" applyFont="1" applyFill="1" applyBorder="1" applyAlignment="1">
      <alignment horizontal="center" vertical="center"/>
    </xf>
    <xf numFmtId="4" fontId="17" fillId="2" borderId="8" xfId="1" applyNumberFormat="1" applyFont="1" applyFill="1" applyBorder="1" applyAlignment="1">
      <alignment horizontal="center" vertical="center"/>
    </xf>
    <xf numFmtId="171" fontId="11" fillId="2" borderId="32" xfId="1" applyFont="1" applyFill="1" applyBorder="1" applyAlignment="1">
      <alignment horizontal="center"/>
    </xf>
    <xf numFmtId="171" fontId="28" fillId="0" borderId="0" xfId="1" applyFont="1" applyBorder="1" applyAlignment="1">
      <alignment horizontal="left" vertical="center"/>
    </xf>
    <xf numFmtId="171" fontId="17" fillId="0" borderId="0" xfId="1" applyFont="1" applyBorder="1" applyAlignment="1">
      <alignment horizontal="left" vertical="center"/>
    </xf>
    <xf numFmtId="2" fontId="17" fillId="2" borderId="19" xfId="0" applyNumberFormat="1" applyFont="1" applyFill="1" applyBorder="1" applyAlignment="1">
      <alignment horizontal="center"/>
    </xf>
    <xf numFmtId="0" fontId="11" fillId="2" borderId="28" xfId="0" applyNumberFormat="1" applyFont="1" applyFill="1" applyBorder="1" applyAlignment="1">
      <alignment horizontal="center" vertical="center"/>
    </xf>
    <xf numFmtId="171" fontId="11" fillId="0" borderId="0" xfId="1" applyFont="1" applyBorder="1" applyAlignment="1">
      <alignment vertical="center"/>
    </xf>
    <xf numFmtId="171" fontId="29" fillId="0" borderId="0" xfId="1" applyFont="1" applyBorder="1" applyAlignment="1">
      <alignment vertical="center"/>
    </xf>
    <xf numFmtId="171" fontId="29" fillId="0" borderId="0" xfId="1" applyFont="1" applyBorder="1" applyAlignment="1">
      <alignment horizontal="left" vertical="center"/>
    </xf>
    <xf numFmtId="171" fontId="11" fillId="2" borderId="0" xfId="1" applyFont="1" applyFill="1"/>
    <xf numFmtId="43" fontId="11" fillId="2" borderId="0" xfId="0" applyNumberFormat="1" applyFont="1" applyFill="1"/>
    <xf numFmtId="171" fontId="29" fillId="0" borderId="0" xfId="1" applyFont="1"/>
    <xf numFmtId="171" fontId="17" fillId="14" borderId="0" xfId="1" applyFont="1" applyFill="1" applyBorder="1" applyAlignment="1">
      <alignment horizontal="left"/>
    </xf>
    <xf numFmtId="171" fontId="17" fillId="14" borderId="0" xfId="1" applyFont="1" applyFill="1" applyBorder="1" applyAlignment="1">
      <alignment horizontal="left" vertical="center"/>
    </xf>
    <xf numFmtId="2" fontId="2" fillId="0" borderId="0" xfId="0" applyNumberFormat="1" applyFont="1" applyBorder="1" applyAlignment="1"/>
    <xf numFmtId="4" fontId="2" fillId="0" borderId="0" xfId="0" applyNumberFormat="1" applyFont="1" applyBorder="1" applyAlignment="1">
      <alignment horizontal="left"/>
    </xf>
    <xf numFmtId="0" fontId="11" fillId="5" borderId="17" xfId="0" applyNumberFormat="1" applyFont="1" applyFill="1" applyBorder="1" applyAlignment="1">
      <alignment horizontal="center"/>
    </xf>
    <xf numFmtId="0" fontId="11" fillId="5" borderId="17" xfId="0" applyNumberFormat="1" applyFont="1" applyFill="1" applyBorder="1" applyAlignment="1"/>
    <xf numFmtId="4" fontId="11" fillId="5" borderId="7" xfId="0" applyNumberFormat="1" applyFont="1" applyFill="1" applyBorder="1" applyAlignment="1">
      <alignment horizontal="center"/>
    </xf>
    <xf numFmtId="0" fontId="2" fillId="5" borderId="12" xfId="0" applyNumberFormat="1" applyFont="1" applyFill="1" applyBorder="1" applyAlignment="1">
      <alignment horizontal="right" wrapText="1" indent="3"/>
    </xf>
    <xf numFmtId="0" fontId="11" fillId="5" borderId="17" xfId="0" applyNumberFormat="1" applyFont="1" applyFill="1" applyBorder="1" applyAlignment="1">
      <alignment horizontal="center" vertical="center"/>
    </xf>
    <xf numFmtId="4" fontId="11" fillId="5" borderId="17" xfId="0" applyNumberFormat="1" applyFont="1" applyFill="1" applyBorder="1" applyAlignment="1">
      <alignment horizontal="center" vertical="center"/>
    </xf>
    <xf numFmtId="4" fontId="11" fillId="5" borderId="1" xfId="0" applyNumberFormat="1" applyFont="1" applyFill="1" applyBorder="1" applyAlignment="1">
      <alignment horizontal="center" vertical="center"/>
    </xf>
    <xf numFmtId="4" fontId="11" fillId="3" borderId="1" xfId="0" applyNumberFormat="1" applyFont="1" applyFill="1" applyBorder="1" applyAlignment="1">
      <alignment horizontal="center" vertical="center"/>
    </xf>
    <xf numFmtId="171" fontId="11" fillId="3" borderId="7" xfId="1" applyFont="1" applyFill="1" applyBorder="1" applyAlignment="1"/>
    <xf numFmtId="1" fontId="11" fillId="3" borderId="7" xfId="0" applyNumberFormat="1" applyFont="1" applyFill="1" applyBorder="1" applyAlignment="1"/>
    <xf numFmtId="0" fontId="11" fillId="3" borderId="17" xfId="0" applyNumberFormat="1" applyFont="1" applyFill="1" applyBorder="1" applyAlignment="1">
      <alignment horizontal="center"/>
    </xf>
    <xf numFmtId="0" fontId="11" fillId="3" borderId="17" xfId="0" applyNumberFormat="1" applyFont="1" applyFill="1" applyBorder="1" applyAlignment="1"/>
    <xf numFmtId="4" fontId="11" fillId="3" borderId="7" xfId="0" applyNumberFormat="1" applyFont="1" applyFill="1" applyBorder="1" applyAlignment="1">
      <alignment horizontal="center"/>
    </xf>
    <xf numFmtId="0" fontId="2" fillId="3" borderId="12" xfId="0" applyNumberFormat="1" applyFont="1" applyFill="1" applyBorder="1" applyAlignment="1">
      <alignment horizontal="right" wrapText="1" indent="3"/>
    </xf>
    <xf numFmtId="0" fontId="11" fillId="3" borderId="26" xfId="0" applyNumberFormat="1" applyFont="1" applyFill="1" applyBorder="1" applyAlignment="1">
      <alignment horizontal="center" vertical="center"/>
    </xf>
    <xf numFmtId="4" fontId="11" fillId="3" borderId="17" xfId="0" applyNumberFormat="1" applyFont="1" applyFill="1" applyBorder="1" applyAlignment="1">
      <alignment horizontal="center" vertical="center"/>
    </xf>
    <xf numFmtId="0" fontId="11" fillId="3" borderId="17" xfId="0" applyNumberFormat="1" applyFont="1" applyFill="1" applyBorder="1" applyAlignment="1">
      <alignment horizontal="center" vertical="center"/>
    </xf>
    <xf numFmtId="0" fontId="11" fillId="4" borderId="17" xfId="0" applyNumberFormat="1" applyFont="1" applyFill="1" applyBorder="1" applyAlignment="1">
      <alignment horizontal="center"/>
    </xf>
    <xf numFmtId="0" fontId="11" fillId="4" borderId="17" xfId="0" applyNumberFormat="1" applyFont="1" applyFill="1" applyBorder="1" applyAlignment="1"/>
    <xf numFmtId="4" fontId="11" fillId="4" borderId="7" xfId="0" applyNumberFormat="1" applyFont="1" applyFill="1" applyBorder="1" applyAlignment="1">
      <alignment horizontal="center"/>
    </xf>
    <xf numFmtId="0" fontId="2" fillId="4" borderId="12" xfId="0" applyNumberFormat="1" applyFont="1" applyFill="1" applyBorder="1" applyAlignment="1">
      <alignment horizontal="right" wrapText="1" indent="3"/>
    </xf>
    <xf numFmtId="0" fontId="11" fillId="4" borderId="17" xfId="0" applyNumberFormat="1" applyFont="1" applyFill="1" applyBorder="1" applyAlignment="1">
      <alignment horizontal="center" vertical="center"/>
    </xf>
    <xf numFmtId="4" fontId="11" fillId="4" borderId="17" xfId="0" applyNumberFormat="1" applyFont="1" applyFill="1" applyBorder="1" applyAlignment="1">
      <alignment horizontal="center" vertical="center"/>
    </xf>
    <xf numFmtId="4" fontId="2" fillId="0" borderId="7" xfId="0" applyNumberFormat="1" applyFont="1" applyBorder="1" applyAlignment="1">
      <alignment horizontal="center"/>
    </xf>
    <xf numFmtId="4" fontId="6" fillId="5" borderId="4" xfId="0" applyNumberFormat="1" applyFont="1" applyFill="1" applyBorder="1" applyAlignment="1">
      <alignment horizontal="center"/>
    </xf>
    <xf numFmtId="0" fontId="11" fillId="4" borderId="17" xfId="0" applyNumberFormat="1" applyFont="1" applyFill="1" applyBorder="1" applyAlignment="1">
      <alignment horizontal="center"/>
    </xf>
    <xf numFmtId="4" fontId="11" fillId="4" borderId="7" xfId="0" applyNumberFormat="1" applyFont="1" applyFill="1" applyBorder="1" applyAlignment="1">
      <alignment horizontal="center"/>
    </xf>
    <xf numFmtId="0" fontId="11" fillId="5" borderId="17" xfId="0" applyNumberFormat="1" applyFont="1" applyFill="1" applyBorder="1" applyAlignment="1">
      <alignment horizontal="center"/>
    </xf>
    <xf numFmtId="4" fontId="11" fillId="5" borderId="7" xfId="0" applyNumberFormat="1" applyFont="1" applyFill="1" applyBorder="1" applyAlignment="1">
      <alignment horizontal="center"/>
    </xf>
    <xf numFmtId="171" fontId="7" fillId="3" borderId="2" xfId="1" applyFont="1" applyFill="1" applyBorder="1" applyAlignment="1"/>
    <xf numFmtId="49" fontId="2" fillId="8" borderId="2" xfId="0" applyNumberFormat="1" applyFont="1" applyFill="1" applyBorder="1" applyAlignment="1">
      <alignment horizontal="center"/>
    </xf>
    <xf numFmtId="49" fontId="2" fillId="8" borderId="29" xfId="0" applyNumberFormat="1" applyFont="1" applyFill="1" applyBorder="1" applyAlignment="1">
      <alignment horizontal="center"/>
    </xf>
    <xf numFmtId="4" fontId="17" fillId="0" borderId="0" xfId="0" applyNumberFormat="1" applyFont="1" applyBorder="1" applyAlignment="1">
      <alignment horizontal="left"/>
    </xf>
    <xf numFmtId="49" fontId="2" fillId="15" borderId="5" xfId="0" applyNumberFormat="1" applyFont="1" applyFill="1" applyBorder="1" applyAlignment="1">
      <alignment horizontal="center"/>
    </xf>
    <xf numFmtId="49" fontId="2" fillId="15" borderId="13" xfId="0" applyNumberFormat="1" applyFont="1" applyFill="1" applyBorder="1" applyAlignment="1">
      <alignment horizontal="center"/>
    </xf>
    <xf numFmtId="49" fontId="2" fillId="6" borderId="9" xfId="0" applyNumberFormat="1" applyFont="1" applyFill="1" applyBorder="1" applyAlignment="1">
      <alignment horizontal="center"/>
    </xf>
    <xf numFmtId="49" fontId="2" fillId="6" borderId="1" xfId="0" applyNumberFormat="1" applyFont="1" applyFill="1" applyBorder="1" applyAlignment="1">
      <alignment horizontal="center"/>
    </xf>
    <xf numFmtId="4" fontId="2" fillId="2" borderId="1" xfId="0" applyNumberFormat="1" applyFont="1" applyFill="1" applyBorder="1" applyAlignment="1">
      <alignment horizontal="center"/>
    </xf>
    <xf numFmtId="4" fontId="2" fillId="0" borderId="1" xfId="0" applyNumberFormat="1" applyFont="1" applyBorder="1" applyAlignment="1">
      <alignment horizontal="center"/>
    </xf>
    <xf numFmtId="49" fontId="2" fillId="16" borderId="3" xfId="0" applyNumberFormat="1" applyFont="1" applyFill="1" applyBorder="1" applyAlignment="1">
      <alignment horizontal="center"/>
    </xf>
    <xf numFmtId="49" fontId="2" fillId="16" borderId="4" xfId="0" applyNumberFormat="1" applyFont="1" applyFill="1" applyBorder="1" applyAlignment="1">
      <alignment horizontal="center"/>
    </xf>
    <xf numFmtId="171" fontId="2" fillId="16" borderId="4" xfId="1" applyFont="1" applyFill="1" applyBorder="1" applyAlignment="1">
      <alignment horizontal="center"/>
    </xf>
    <xf numFmtId="0" fontId="14" fillId="3" borderId="12" xfId="0" applyNumberFormat="1" applyFont="1" applyFill="1" applyBorder="1" applyAlignment="1">
      <alignment horizontal="right" wrapText="1" indent="3"/>
    </xf>
    <xf numFmtId="171" fontId="7" fillId="3" borderId="7" xfId="1" applyFont="1" applyFill="1" applyBorder="1" applyAlignment="1">
      <alignment horizontal="center"/>
    </xf>
    <xf numFmtId="0" fontId="2" fillId="17" borderId="12" xfId="0" applyNumberFormat="1" applyFont="1" applyFill="1" applyBorder="1" applyAlignment="1">
      <alignment horizontal="right" wrapText="1" indent="3"/>
    </xf>
    <xf numFmtId="0" fontId="11" fillId="17" borderId="17" xfId="0" applyNumberFormat="1" applyFont="1" applyFill="1" applyBorder="1" applyAlignment="1">
      <alignment horizontal="center" vertical="center"/>
    </xf>
    <xf numFmtId="4" fontId="11" fillId="17" borderId="17" xfId="0" applyNumberFormat="1" applyFont="1" applyFill="1" applyBorder="1" applyAlignment="1">
      <alignment horizontal="center" vertical="center"/>
    </xf>
    <xf numFmtId="171" fontId="7" fillId="5" borderId="2" xfId="1" applyFont="1" applyFill="1" applyBorder="1" applyAlignment="1"/>
    <xf numFmtId="49" fontId="2" fillId="6" borderId="2" xfId="0" applyNumberFormat="1" applyFont="1" applyFill="1" applyBorder="1" applyAlignment="1">
      <alignment horizontal="center"/>
    </xf>
    <xf numFmtId="4" fontId="7" fillId="6" borderId="7" xfId="0" applyNumberFormat="1" applyFont="1" applyFill="1" applyBorder="1" applyAlignment="1">
      <alignment horizontal="center"/>
    </xf>
    <xf numFmtId="0" fontId="11" fillId="3" borderId="17" xfId="0" applyNumberFormat="1" applyFont="1" applyFill="1" applyBorder="1" applyAlignment="1">
      <alignment horizontal="center"/>
    </xf>
    <xf numFmtId="4" fontId="11" fillId="3" borderId="7" xfId="0" applyNumberFormat="1" applyFont="1" applyFill="1" applyBorder="1" applyAlignment="1">
      <alignment horizontal="center"/>
    </xf>
    <xf numFmtId="171" fontId="29" fillId="18" borderId="0" xfId="1" applyFont="1" applyFill="1" applyBorder="1" applyAlignment="1">
      <alignment horizontal="left" vertical="center"/>
    </xf>
    <xf numFmtId="4" fontId="11" fillId="2" borderId="7" xfId="0" applyNumberFormat="1" applyFont="1" applyFill="1" applyBorder="1" applyAlignment="1">
      <alignment horizontal="center" vertical="center"/>
    </xf>
    <xf numFmtId="171" fontId="11" fillId="2" borderId="7" xfId="0" applyNumberFormat="1" applyFont="1" applyFill="1" applyBorder="1" applyAlignment="1">
      <alignment horizontal="center"/>
    </xf>
    <xf numFmtId="171" fontId="29" fillId="19" borderId="0" xfId="1" applyFont="1" applyFill="1" applyBorder="1" applyAlignment="1">
      <alignment horizontal="left" vertical="center"/>
    </xf>
    <xf numFmtId="4" fontId="11" fillId="3" borderId="7" xfId="0" applyNumberFormat="1" applyFont="1" applyFill="1" applyBorder="1" applyAlignment="1">
      <alignment horizontal="center"/>
    </xf>
    <xf numFmtId="0" fontId="11" fillId="3" borderId="17" xfId="0" applyNumberFormat="1" applyFont="1" applyFill="1" applyBorder="1" applyAlignment="1">
      <alignment horizontal="center"/>
    </xf>
    <xf numFmtId="0" fontId="11" fillId="3" borderId="17" xfId="0" applyNumberFormat="1" applyFont="1" applyFill="1" applyBorder="1" applyAlignment="1">
      <alignment horizontal="center"/>
    </xf>
    <xf numFmtId="4" fontId="11" fillId="3" borderId="7" xfId="0" applyNumberFormat="1" applyFont="1" applyFill="1" applyBorder="1" applyAlignment="1">
      <alignment horizontal="center"/>
    </xf>
    <xf numFmtId="0" fontId="4" fillId="2" borderId="0" xfId="0" applyFont="1" applyFill="1"/>
    <xf numFmtId="0" fontId="17" fillId="2" borderId="20" xfId="0" applyNumberFormat="1" applyFont="1" applyFill="1" applyBorder="1" applyAlignment="1">
      <alignment horizontal="center" vertical="center" wrapText="1"/>
    </xf>
    <xf numFmtId="0" fontId="17" fillId="2" borderId="19" xfId="0" applyNumberFormat="1" applyFont="1" applyFill="1" applyBorder="1" applyAlignment="1">
      <alignment horizontal="center" vertical="center" wrapText="1"/>
    </xf>
    <xf numFmtId="0" fontId="17" fillId="2" borderId="7" xfId="0" applyNumberFormat="1" applyFont="1" applyFill="1" applyBorder="1" applyAlignment="1">
      <alignment vertical="center" wrapText="1"/>
    </xf>
    <xf numFmtId="0" fontId="17" fillId="2" borderId="12" xfId="0" applyNumberFormat="1" applyFont="1" applyFill="1" applyBorder="1" applyAlignment="1">
      <alignment vertical="center" wrapText="1"/>
    </xf>
    <xf numFmtId="0" fontId="17" fillId="2" borderId="25" xfId="0" applyNumberFormat="1" applyFont="1" applyFill="1" applyBorder="1" applyAlignment="1">
      <alignment vertical="center" wrapText="1"/>
    </xf>
    <xf numFmtId="0" fontId="17" fillId="2" borderId="0" xfId="0" applyNumberFormat="1" applyFont="1" applyFill="1" applyBorder="1" applyAlignment="1">
      <alignment horizontal="center" vertical="center" wrapText="1"/>
    </xf>
    <xf numFmtId="0" fontId="17" fillId="2" borderId="33" xfId="0" applyNumberFormat="1" applyFont="1" applyFill="1" applyBorder="1" applyAlignment="1">
      <alignment horizontal="center" vertical="center" wrapText="1"/>
    </xf>
    <xf numFmtId="49" fontId="2" fillId="8" borderId="2" xfId="0" applyNumberFormat="1" applyFont="1" applyFill="1" applyBorder="1" applyAlignment="1">
      <alignment horizontal="center"/>
    </xf>
    <xf numFmtId="49" fontId="2" fillId="8" borderId="29" xfId="0" applyNumberFormat="1" applyFont="1" applyFill="1" applyBorder="1" applyAlignment="1">
      <alignment horizontal="center"/>
    </xf>
    <xf numFmtId="4" fontId="17" fillId="2" borderId="0" xfId="0" applyNumberFormat="1" applyFont="1" applyFill="1" applyBorder="1" applyAlignment="1">
      <alignment horizontal="center"/>
    </xf>
    <xf numFmtId="0" fontId="2" fillId="4" borderId="12" xfId="0" applyNumberFormat="1" applyFont="1" applyFill="1" applyBorder="1" applyAlignment="1">
      <alignment horizontal="right" vertical="center" wrapText="1" indent="3"/>
    </xf>
    <xf numFmtId="0" fontId="2" fillId="0" borderId="12" xfId="0" applyNumberFormat="1" applyFont="1" applyBorder="1" applyAlignment="1">
      <alignment horizontal="left" vertical="top" wrapText="1" indent="3"/>
    </xf>
    <xf numFmtId="0" fontId="2" fillId="0" borderId="34" xfId="0" applyNumberFormat="1" applyFont="1" applyBorder="1" applyAlignment="1">
      <alignment horizontal="left" vertical="top" wrapText="1" indent="3"/>
    </xf>
    <xf numFmtId="171" fontId="2" fillId="0" borderId="2" xfId="1" applyFont="1" applyFill="1" applyBorder="1" applyAlignment="1"/>
    <xf numFmtId="49" fontId="2" fillId="0" borderId="13"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8" borderId="0" xfId="0" applyNumberFormat="1" applyFont="1" applyFill="1" applyBorder="1" applyAlignment="1">
      <alignment horizontal="center"/>
    </xf>
    <xf numFmtId="0" fontId="2" fillId="8" borderId="0" xfId="0" applyNumberFormat="1" applyFont="1" applyFill="1" applyBorder="1" applyAlignment="1">
      <alignment horizontal="center"/>
    </xf>
    <xf numFmtId="0" fontId="2" fillId="8" borderId="17" xfId="0" applyNumberFormat="1" applyFont="1" applyFill="1" applyBorder="1" applyAlignment="1">
      <alignment horizontal="left" wrapText="1" indent="4"/>
    </xf>
    <xf numFmtId="171" fontId="2" fillId="0" borderId="17" xfId="1" applyFont="1" applyBorder="1" applyAlignment="1">
      <alignment horizontal="center"/>
    </xf>
    <xf numFmtId="49" fontId="2" fillId="0" borderId="1" xfId="0" applyNumberFormat="1" applyFont="1" applyFill="1" applyBorder="1" applyAlignment="1">
      <alignment horizontal="center"/>
    </xf>
    <xf numFmtId="0" fontId="11" fillId="2" borderId="7" xfId="0" applyNumberFormat="1" applyFont="1" applyFill="1" applyBorder="1" applyAlignment="1">
      <alignment horizontal="center" vertical="center"/>
    </xf>
    <xf numFmtId="4" fontId="11" fillId="2" borderId="7"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4" fontId="11" fillId="5" borderId="7" xfId="0" applyNumberFormat="1" applyFont="1" applyFill="1" applyBorder="1" applyAlignment="1">
      <alignment horizontal="center"/>
    </xf>
    <xf numFmtId="2" fontId="11" fillId="2" borderId="10" xfId="0" applyNumberFormat="1" applyFont="1" applyFill="1" applyBorder="1" applyAlignment="1">
      <alignment horizontal="center" vertical="center"/>
    </xf>
    <xf numFmtId="179" fontId="11" fillId="2" borderId="10" xfId="0" applyNumberFormat="1" applyFont="1" applyFill="1" applyBorder="1" applyAlignment="1">
      <alignment horizontal="center" vertical="center"/>
    </xf>
    <xf numFmtId="0" fontId="9" fillId="0" borderId="0" xfId="0" applyNumberFormat="1" applyFont="1" applyBorder="1" applyAlignment="1">
      <alignment horizontal="justify" wrapText="1"/>
    </xf>
    <xf numFmtId="0" fontId="2" fillId="0" borderId="12" xfId="0" applyNumberFormat="1" applyFont="1" applyBorder="1" applyAlignment="1">
      <alignment horizontal="left" wrapText="1" indent="2"/>
    </xf>
    <xf numFmtId="0" fontId="9" fillId="0" borderId="0" xfId="0" applyNumberFormat="1" applyFont="1" applyBorder="1" applyAlignment="1">
      <alignment horizontal="left" wrapText="1"/>
    </xf>
    <xf numFmtId="0" fontId="7" fillId="0" borderId="12" xfId="0" applyNumberFormat="1" applyFont="1" applyBorder="1" applyAlignment="1">
      <alignment horizontal="left"/>
    </xf>
    <xf numFmtId="0" fontId="2" fillId="0" borderId="12" xfId="0" applyNumberFormat="1" applyFont="1" applyBorder="1" applyAlignment="1">
      <alignment horizontal="left" vertical="top" wrapText="1" indent="4"/>
    </xf>
    <xf numFmtId="0" fontId="2" fillId="0" borderId="34" xfId="0" applyNumberFormat="1" applyFont="1" applyBorder="1" applyAlignment="1">
      <alignment horizontal="left" vertical="top" wrapText="1" indent="4"/>
    </xf>
    <xf numFmtId="0" fontId="2" fillId="0" borderId="12" xfId="0" applyNumberFormat="1" applyFont="1" applyBorder="1" applyAlignment="1">
      <alignment horizontal="left" wrapText="1" indent="3"/>
    </xf>
    <xf numFmtId="0" fontId="2" fillId="0" borderId="12" xfId="0" applyNumberFormat="1" applyFont="1" applyBorder="1" applyAlignment="1">
      <alignment horizontal="left" wrapText="1" indent="1"/>
    </xf>
    <xf numFmtId="0" fontId="2" fillId="0" borderId="12" xfId="0" applyNumberFormat="1" applyFont="1" applyBorder="1" applyAlignment="1">
      <alignment horizontal="left" vertical="top" wrapText="1" indent="3"/>
    </xf>
    <xf numFmtId="0" fontId="2" fillId="0" borderId="34" xfId="0" applyNumberFormat="1" applyFont="1" applyBorder="1" applyAlignment="1">
      <alignment horizontal="left" vertical="top" wrapText="1" indent="3"/>
    </xf>
    <xf numFmtId="0" fontId="2" fillId="0" borderId="11" xfId="0" applyNumberFormat="1" applyFont="1" applyBorder="1" applyAlignment="1">
      <alignment horizontal="left" indent="4"/>
    </xf>
    <xf numFmtId="0" fontId="0" fillId="0" borderId="34" xfId="0" applyBorder="1" applyAlignment="1">
      <alignment horizontal="left" wrapText="1" indent="3"/>
    </xf>
    <xf numFmtId="0" fontId="2" fillId="0" borderId="34" xfId="0" applyNumberFormat="1" applyFont="1" applyBorder="1" applyAlignment="1">
      <alignment horizontal="left" wrapText="1" indent="3"/>
    </xf>
    <xf numFmtId="0" fontId="2" fillId="0" borderId="12" xfId="0" applyNumberFormat="1" applyFont="1" applyBorder="1" applyAlignment="1">
      <alignment horizontal="left" wrapText="1" indent="4"/>
    </xf>
    <xf numFmtId="0" fontId="7" fillId="6" borderId="12" xfId="0" applyNumberFormat="1" applyFont="1" applyFill="1" applyBorder="1" applyAlignment="1">
      <alignment horizontal="left"/>
    </xf>
    <xf numFmtId="0" fontId="2" fillId="0" borderId="11" xfId="0" applyNumberFormat="1" applyFont="1" applyBorder="1" applyAlignment="1">
      <alignment horizontal="left" indent="3"/>
    </xf>
    <xf numFmtId="0" fontId="2" fillId="0" borderId="2" xfId="0" applyNumberFormat="1" applyFont="1" applyBorder="1" applyAlignment="1">
      <alignment horizontal="center"/>
    </xf>
    <xf numFmtId="0" fontId="2" fillId="0" borderId="1" xfId="0" applyNumberFormat="1" applyFont="1" applyBorder="1" applyAlignment="1">
      <alignment horizontal="center"/>
    </xf>
    <xf numFmtId="171" fontId="2" fillId="0" borderId="14" xfId="1" applyFont="1" applyBorder="1" applyAlignment="1">
      <alignment horizontal="center"/>
    </xf>
    <xf numFmtId="171" fontId="2" fillId="0" borderId="16" xfId="1" applyFont="1" applyBorder="1" applyAlignment="1">
      <alignment horizontal="center"/>
    </xf>
    <xf numFmtId="49" fontId="2"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14" xfId="0" applyNumberFormat="1" applyFont="1" applyBorder="1" applyAlignment="1">
      <alignment horizontal="center"/>
    </xf>
    <xf numFmtId="49" fontId="2" fillId="0" borderId="16" xfId="0" applyNumberFormat="1" applyFont="1" applyBorder="1" applyAlignment="1">
      <alignment horizontal="center"/>
    </xf>
    <xf numFmtId="49" fontId="2" fillId="0" borderId="13" xfId="0" applyNumberFormat="1" applyFont="1" applyBorder="1" applyAlignment="1">
      <alignment horizontal="center"/>
    </xf>
    <xf numFmtId="49" fontId="2" fillId="0" borderId="9" xfId="0" applyNumberFormat="1" applyFont="1" applyBorder="1" applyAlignment="1">
      <alignment horizontal="center"/>
    </xf>
    <xf numFmtId="0" fontId="2" fillId="0" borderId="10" xfId="0" applyNumberFormat="1" applyFont="1" applyBorder="1" applyAlignment="1">
      <alignment horizontal="left" indent="2"/>
    </xf>
    <xf numFmtId="0" fontId="11" fillId="0" borderId="10" xfId="0" applyNumberFormat="1" applyFont="1" applyBorder="1" applyAlignment="1">
      <alignment horizontal="center"/>
    </xf>
    <xf numFmtId="0" fontId="2" fillId="0" borderId="2"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171" fontId="12" fillId="0" borderId="10" xfId="1" applyFont="1" applyBorder="1" applyAlignment="1">
      <alignment horizontal="center" wrapText="1"/>
    </xf>
    <xf numFmtId="49" fontId="2" fillId="0" borderId="12" xfId="0" applyNumberFormat="1" applyFont="1" applyBorder="1" applyAlignment="1">
      <alignment horizontal="center" vertical="top"/>
    </xf>
    <xf numFmtId="0" fontId="7" fillId="0" borderId="0" xfId="0" applyNumberFormat="1" applyFont="1" applyBorder="1" applyAlignment="1">
      <alignment horizontal="center"/>
    </xf>
    <xf numFmtId="0" fontId="2" fillId="0" borderId="29" xfId="0" applyNumberFormat="1" applyFont="1" applyBorder="1" applyAlignment="1">
      <alignment horizontal="center"/>
    </xf>
    <xf numFmtId="0" fontId="2" fillId="0" borderId="11" xfId="0" applyNumberFormat="1" applyFont="1" applyBorder="1" applyAlignment="1">
      <alignment horizontal="left" indent="2"/>
    </xf>
    <xf numFmtId="0" fontId="2" fillId="0" borderId="7"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32"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2" xfId="0" applyNumberFormat="1" applyFont="1" applyBorder="1" applyAlignment="1">
      <alignment horizontal="left" indent="3"/>
    </xf>
    <xf numFmtId="0" fontId="4" fillId="0" borderId="0" xfId="0" applyNumberFormat="1" applyFont="1" applyBorder="1" applyAlignment="1">
      <alignment horizontal="center"/>
    </xf>
    <xf numFmtId="0" fontId="2" fillId="0" borderId="2" xfId="0" applyNumberFormat="1" applyFont="1" applyBorder="1" applyAlignment="1">
      <alignment horizontal="center" vertical="center"/>
    </xf>
    <xf numFmtId="0" fontId="2" fillId="0" borderId="29" xfId="0" applyNumberFormat="1" applyFont="1" applyBorder="1" applyAlignment="1">
      <alignment horizontal="center" vertical="center"/>
    </xf>
    <xf numFmtId="0" fontId="4" fillId="0" borderId="0" xfId="0" applyNumberFormat="1" applyFont="1" applyBorder="1" applyAlignment="1">
      <alignment horizontal="left" wrapText="1"/>
    </xf>
    <xf numFmtId="0" fontId="7" fillId="7" borderId="12" xfId="0" applyNumberFormat="1" applyFont="1" applyFill="1" applyBorder="1" applyAlignment="1">
      <alignment horizontal="left"/>
    </xf>
    <xf numFmtId="0" fontId="2" fillId="0" borderId="12" xfId="0" applyNumberFormat="1" applyFont="1" applyBorder="1" applyAlignment="1">
      <alignment horizontal="left"/>
    </xf>
    <xf numFmtId="0" fontId="5" fillId="0" borderId="11" xfId="0" applyNumberFormat="1" applyFont="1" applyBorder="1" applyAlignment="1">
      <alignment horizontal="center" vertical="top"/>
    </xf>
    <xf numFmtId="0" fontId="2" fillId="0" borderId="0" xfId="0" applyNumberFormat="1" applyFont="1" applyBorder="1" applyAlignment="1">
      <alignment horizontal="left" vertical="center" wrapText="1"/>
    </xf>
    <xf numFmtId="0" fontId="21" fillId="0" borderId="0" xfId="0" applyFont="1" applyAlignment="1">
      <alignment horizontal="left" vertical="center" wrapText="1"/>
    </xf>
    <xf numFmtId="4" fontId="2" fillId="2" borderId="2" xfId="0" applyNumberFormat="1" applyFont="1" applyFill="1" applyBorder="1" applyAlignment="1">
      <alignment horizontal="center"/>
    </xf>
    <xf numFmtId="0" fontId="2" fillId="2" borderId="1" xfId="0" applyNumberFormat="1" applyFont="1" applyFill="1" applyBorder="1" applyAlignment="1">
      <alignment horizontal="center"/>
    </xf>
    <xf numFmtId="0" fontId="0" fillId="0" borderId="33" xfId="0" applyBorder="1" applyAlignment="1">
      <alignment horizontal="center" vertical="center" wrapText="1"/>
    </xf>
    <xf numFmtId="0" fontId="0" fillId="0" borderId="16" xfId="0" applyBorder="1" applyAlignment="1">
      <alignment horizontal="center" vertical="center" wrapText="1"/>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8" borderId="2" xfId="0" applyNumberFormat="1" applyFont="1" applyFill="1" applyBorder="1" applyAlignment="1">
      <alignment horizontal="center"/>
    </xf>
    <xf numFmtId="0" fontId="2" fillId="8" borderId="29" xfId="0" applyNumberFormat="1" applyFont="1" applyFill="1" applyBorder="1" applyAlignment="1">
      <alignment horizontal="center"/>
    </xf>
    <xf numFmtId="0" fontId="0" fillId="0" borderId="0" xfId="0" applyAlignment="1">
      <alignment horizontal="left" vertical="center" wrapText="1"/>
    </xf>
    <xf numFmtId="49" fontId="2" fillId="8" borderId="11" xfId="0" applyNumberFormat="1" applyFont="1" applyFill="1" applyBorder="1" applyAlignment="1">
      <alignment horizontal="center"/>
    </xf>
    <xf numFmtId="49" fontId="2" fillId="8" borderId="10" xfId="0" applyNumberFormat="1" applyFont="1" applyFill="1" applyBorder="1" applyAlignment="1">
      <alignment horizontal="center"/>
    </xf>
    <xf numFmtId="0" fontId="2" fillId="0" borderId="11"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49" fontId="2" fillId="0" borderId="11" xfId="0" applyNumberFormat="1" applyFont="1" applyBorder="1" applyAlignment="1">
      <alignment horizontal="center"/>
    </xf>
    <xf numFmtId="49" fontId="2" fillId="0" borderId="10" xfId="0" applyNumberFormat="1" applyFont="1" applyBorder="1" applyAlignment="1">
      <alignment horizontal="center"/>
    </xf>
    <xf numFmtId="49" fontId="2" fillId="8" borderId="2" xfId="0" applyNumberFormat="1" applyFont="1" applyFill="1" applyBorder="1" applyAlignment="1">
      <alignment horizontal="center"/>
    </xf>
    <xf numFmtId="49" fontId="2" fillId="8" borderId="29" xfId="0" applyNumberFormat="1" applyFont="1" applyFill="1" applyBorder="1" applyAlignment="1">
      <alignment horizontal="center"/>
    </xf>
    <xf numFmtId="49" fontId="2" fillId="8" borderId="13" xfId="0" applyNumberFormat="1" applyFont="1" applyFill="1" applyBorder="1" applyAlignment="1">
      <alignment horizontal="center"/>
    </xf>
    <xf numFmtId="49" fontId="2" fillId="8" borderId="30" xfId="0" applyNumberFormat="1" applyFont="1" applyFill="1" applyBorder="1" applyAlignment="1">
      <alignment horizontal="center"/>
    </xf>
    <xf numFmtId="0" fontId="17" fillId="2" borderId="30" xfId="0" applyNumberFormat="1" applyFont="1" applyFill="1" applyBorder="1" applyAlignment="1">
      <alignment horizontal="center"/>
    </xf>
    <xf numFmtId="0" fontId="17" fillId="2" borderId="40" xfId="0" applyNumberFormat="1" applyFont="1" applyFill="1" applyBorder="1" applyAlignment="1">
      <alignment horizontal="center"/>
    </xf>
    <xf numFmtId="0" fontId="17" fillId="2" borderId="20" xfId="0" applyNumberFormat="1" applyFont="1" applyFill="1" applyBorder="1" applyAlignment="1">
      <alignment horizontal="center"/>
    </xf>
    <xf numFmtId="0" fontId="15" fillId="2" borderId="7"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25" xfId="0" applyNumberFormat="1" applyFont="1" applyFill="1" applyBorder="1" applyAlignment="1">
      <alignment horizontal="center" vertical="center" wrapText="1"/>
    </xf>
    <xf numFmtId="0" fontId="11" fillId="2" borderId="7" xfId="0" applyNumberFormat="1" applyFont="1" applyFill="1" applyBorder="1" applyAlignment="1">
      <alignment horizontal="left" wrapText="1"/>
    </xf>
    <xf numFmtId="0" fontId="11" fillId="2" borderId="12" xfId="0" applyNumberFormat="1" applyFont="1" applyFill="1" applyBorder="1" applyAlignment="1">
      <alignment horizontal="left" wrapText="1"/>
    </xf>
    <xf numFmtId="0" fontId="11" fillId="2" borderId="25" xfId="0" applyNumberFormat="1" applyFont="1" applyFill="1" applyBorder="1" applyAlignment="1">
      <alignment horizontal="left" wrapText="1"/>
    </xf>
    <xf numFmtId="0" fontId="11" fillId="3" borderId="17" xfId="0" applyNumberFormat="1" applyFont="1" applyFill="1" applyBorder="1" applyAlignment="1">
      <alignment horizontal="center"/>
    </xf>
    <xf numFmtId="0" fontId="11" fillId="2" borderId="7" xfId="0" applyNumberFormat="1" applyFont="1" applyFill="1" applyBorder="1" applyAlignment="1">
      <alignment horizontal="center"/>
    </xf>
    <xf numFmtId="0" fontId="11" fillId="2" borderId="25" xfId="0" applyNumberFormat="1" applyFont="1" applyFill="1" applyBorder="1" applyAlignment="1">
      <alignment horizontal="center"/>
    </xf>
    <xf numFmtId="0" fontId="15" fillId="2" borderId="0" xfId="0" applyNumberFormat="1" applyFont="1" applyFill="1" applyBorder="1" applyAlignment="1">
      <alignment horizontal="center" wrapText="1"/>
    </xf>
    <xf numFmtId="0" fontId="15" fillId="2" borderId="0" xfId="0" applyNumberFormat="1" applyFont="1" applyFill="1" applyBorder="1" applyAlignment="1">
      <alignment horizontal="center"/>
    </xf>
    <xf numFmtId="0" fontId="11" fillId="3" borderId="7" xfId="0" applyNumberFormat="1" applyFont="1" applyFill="1" applyBorder="1" applyAlignment="1">
      <alignment horizontal="center" vertical="center"/>
    </xf>
    <xf numFmtId="0" fontId="11" fillId="3" borderId="25"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0" xfId="0" applyNumberFormat="1" applyFont="1" applyFill="1" applyBorder="1" applyAlignment="1">
      <alignment horizontal="center" vertical="center"/>
    </xf>
    <xf numFmtId="0" fontId="11" fillId="2" borderId="16" xfId="0" applyNumberFormat="1" applyFont="1" applyFill="1" applyBorder="1" applyAlignment="1">
      <alignment horizontal="center" vertical="center"/>
    </xf>
    <xf numFmtId="4" fontId="11" fillId="3" borderId="7" xfId="0" applyNumberFormat="1" applyFont="1" applyFill="1" applyBorder="1" applyAlignment="1">
      <alignment horizontal="center" vertical="center"/>
    </xf>
    <xf numFmtId="4" fontId="11" fillId="3" borderId="25"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xf>
    <xf numFmtId="0" fontId="11" fillId="4" borderId="25"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25" xfId="0" applyNumberFormat="1" applyFont="1" applyFill="1" applyBorder="1" applyAlignment="1">
      <alignment horizontal="center" vertical="center"/>
    </xf>
    <xf numFmtId="0" fontId="11" fillId="2" borderId="7" xfId="0" applyNumberFormat="1" applyFont="1" applyFill="1" applyBorder="1" applyAlignment="1">
      <alignment horizontal="left" vertical="center" wrapText="1"/>
    </xf>
    <xf numFmtId="0" fontId="11" fillId="2" borderId="12" xfId="0" applyNumberFormat="1" applyFont="1" applyFill="1" applyBorder="1" applyAlignment="1">
      <alignment horizontal="left" vertical="center" wrapText="1"/>
    </xf>
    <xf numFmtId="0" fontId="11" fillId="2" borderId="25" xfId="0" applyNumberFormat="1" applyFont="1" applyFill="1" applyBorder="1" applyAlignment="1">
      <alignment horizontal="left" vertical="center" wrapText="1"/>
    </xf>
    <xf numFmtId="0" fontId="11" fillId="2" borderId="26" xfId="0" applyNumberFormat="1" applyFont="1" applyFill="1" applyBorder="1" applyAlignment="1">
      <alignment horizontal="center" vertical="center"/>
    </xf>
    <xf numFmtId="0" fontId="11" fillId="5" borderId="17" xfId="0" applyNumberFormat="1" applyFont="1" applyFill="1" applyBorder="1" applyAlignment="1">
      <alignment horizontal="center"/>
    </xf>
    <xf numFmtId="0" fontId="11" fillId="3" borderId="7" xfId="0" applyNumberFormat="1" applyFont="1" applyFill="1" applyBorder="1" applyAlignment="1">
      <alignment horizontal="center"/>
    </xf>
    <xf numFmtId="0" fontId="11" fillId="3" borderId="25" xfId="0" applyNumberFormat="1" applyFont="1" applyFill="1" applyBorder="1" applyAlignment="1">
      <alignment horizontal="center"/>
    </xf>
    <xf numFmtId="2" fontId="11" fillId="3" borderId="7" xfId="0" applyNumberFormat="1" applyFont="1" applyFill="1" applyBorder="1" applyAlignment="1">
      <alignment horizontal="center"/>
    </xf>
    <xf numFmtId="2" fontId="11" fillId="3" borderId="25" xfId="0" applyNumberFormat="1" applyFont="1" applyFill="1" applyBorder="1" applyAlignment="1">
      <alignment horizontal="center"/>
    </xf>
    <xf numFmtId="0" fontId="11" fillId="2" borderId="7" xfId="0" applyNumberFormat="1" applyFont="1" applyFill="1" applyBorder="1" applyAlignment="1">
      <alignment horizontal="left" vertical="center"/>
    </xf>
    <xf numFmtId="0" fontId="11" fillId="2" borderId="12" xfId="0" applyNumberFormat="1" applyFont="1" applyFill="1" applyBorder="1" applyAlignment="1">
      <alignment horizontal="left" vertical="center"/>
    </xf>
    <xf numFmtId="0" fontId="11" fillId="2" borderId="25" xfId="0" applyNumberFormat="1" applyFont="1" applyFill="1" applyBorder="1" applyAlignment="1">
      <alignment horizontal="left" vertical="center"/>
    </xf>
    <xf numFmtId="0" fontId="11" fillId="4" borderId="7" xfId="0" applyNumberFormat="1" applyFont="1" applyFill="1" applyBorder="1" applyAlignment="1">
      <alignment horizontal="center" vertical="center" wrapText="1"/>
    </xf>
    <xf numFmtId="0" fontId="11" fillId="4" borderId="25" xfId="0" applyNumberFormat="1" applyFont="1" applyFill="1" applyBorder="1" applyAlignment="1">
      <alignment horizontal="center" vertical="center" wrapText="1"/>
    </xf>
    <xf numFmtId="2" fontId="11" fillId="4" borderId="7" xfId="0" applyNumberFormat="1" applyFont="1" applyFill="1" applyBorder="1" applyAlignment="1">
      <alignment horizontal="center"/>
    </xf>
    <xf numFmtId="2" fontId="11" fillId="4" borderId="25" xfId="0" applyNumberFormat="1" applyFont="1" applyFill="1" applyBorder="1" applyAlignment="1">
      <alignment horizontal="center"/>
    </xf>
    <xf numFmtId="4" fontId="11" fillId="2" borderId="7" xfId="0" applyNumberFormat="1" applyFont="1" applyFill="1" applyBorder="1" applyAlignment="1">
      <alignment horizontal="center"/>
    </xf>
    <xf numFmtId="4" fontId="11" fillId="2" borderId="25" xfId="0" applyNumberFormat="1" applyFont="1" applyFill="1" applyBorder="1" applyAlignment="1">
      <alignment horizontal="center"/>
    </xf>
    <xf numFmtId="2" fontId="11" fillId="2" borderId="7" xfId="0" applyNumberFormat="1" applyFont="1" applyFill="1" applyBorder="1" applyAlignment="1">
      <alignment horizontal="center"/>
    </xf>
    <xf numFmtId="2" fontId="11" fillId="2" borderId="25" xfId="0" applyNumberFormat="1" applyFont="1" applyFill="1" applyBorder="1" applyAlignment="1">
      <alignment horizontal="center"/>
    </xf>
    <xf numFmtId="0" fontId="11" fillId="4" borderId="7" xfId="0" applyNumberFormat="1" applyFont="1" applyFill="1" applyBorder="1" applyAlignment="1">
      <alignment horizontal="center"/>
    </xf>
    <xf numFmtId="0" fontId="11" fillId="4" borderId="25" xfId="0" applyNumberFormat="1" applyFont="1" applyFill="1" applyBorder="1" applyAlignment="1">
      <alignment horizontal="center"/>
    </xf>
    <xf numFmtId="0" fontId="11" fillId="5" borderId="7" xfId="0" applyNumberFormat="1" applyFont="1" applyFill="1" applyBorder="1" applyAlignment="1">
      <alignment horizontal="center" vertical="center" wrapText="1"/>
    </xf>
    <xf numFmtId="0" fontId="11" fillId="5" borderId="25" xfId="0" applyNumberFormat="1" applyFont="1" applyFill="1" applyBorder="1" applyAlignment="1">
      <alignment horizontal="center" vertical="center" wrapText="1"/>
    </xf>
    <xf numFmtId="2" fontId="11" fillId="5" borderId="7" xfId="0" applyNumberFormat="1" applyFont="1" applyFill="1" applyBorder="1" applyAlignment="1">
      <alignment horizontal="center"/>
    </xf>
    <xf numFmtId="2" fontId="11" fillId="5" borderId="25" xfId="0" applyNumberFormat="1" applyFont="1" applyFill="1" applyBorder="1" applyAlignment="1">
      <alignment horizontal="center"/>
    </xf>
    <xf numFmtId="4" fontId="11" fillId="2" borderId="7" xfId="0" applyNumberFormat="1" applyFont="1" applyFill="1" applyBorder="1" applyAlignment="1">
      <alignment horizontal="center" vertical="center"/>
    </xf>
    <xf numFmtId="4" fontId="11" fillId="2" borderId="25" xfId="0" applyNumberFormat="1" applyFont="1" applyFill="1" applyBorder="1" applyAlignment="1">
      <alignment horizontal="center" vertical="center"/>
    </xf>
    <xf numFmtId="0" fontId="11" fillId="5" borderId="7" xfId="0" applyNumberFormat="1" applyFont="1" applyFill="1" applyBorder="1" applyAlignment="1">
      <alignment horizontal="center"/>
    </xf>
    <xf numFmtId="0" fontId="11" fillId="5" borderId="25" xfId="0" applyNumberFormat="1" applyFont="1" applyFill="1" applyBorder="1" applyAlignment="1">
      <alignment horizontal="center"/>
    </xf>
    <xf numFmtId="4" fontId="11" fillId="5" borderId="7" xfId="0" applyNumberFormat="1" applyFont="1" applyFill="1" applyBorder="1" applyAlignment="1">
      <alignment horizontal="center"/>
    </xf>
    <xf numFmtId="4" fontId="11" fillId="5" borderId="25" xfId="0" applyNumberFormat="1" applyFont="1" applyFill="1" applyBorder="1" applyAlignment="1">
      <alignment horizontal="center"/>
    </xf>
    <xf numFmtId="0" fontId="17" fillId="2" borderId="19" xfId="0" applyNumberFormat="1" applyFont="1" applyFill="1" applyBorder="1" applyAlignment="1">
      <alignment horizontal="center" vertical="center" wrapText="1"/>
    </xf>
    <xf numFmtId="0" fontId="17" fillId="2" borderId="39" xfId="0" applyNumberFormat="1" applyFont="1" applyFill="1" applyBorder="1" applyAlignment="1">
      <alignment horizontal="center" vertical="center" wrapText="1"/>
    </xf>
    <xf numFmtId="0" fontId="17" fillId="2" borderId="20" xfId="0" applyNumberFormat="1" applyFont="1" applyFill="1" applyBorder="1" applyAlignment="1">
      <alignment horizontal="center" vertical="center" wrapText="1"/>
    </xf>
    <xf numFmtId="0" fontId="11" fillId="2" borderId="17" xfId="0" applyNumberFormat="1" applyFont="1" applyFill="1" applyBorder="1" applyAlignment="1">
      <alignment horizontal="center"/>
    </xf>
    <xf numFmtId="0" fontId="17" fillId="2" borderId="18" xfId="0" applyNumberFormat="1" applyFont="1" applyFill="1" applyBorder="1" applyAlignment="1">
      <alignment horizontal="center" vertical="center"/>
    </xf>
    <xf numFmtId="0" fontId="17" fillId="2" borderId="24" xfId="0" applyNumberFormat="1" applyFont="1" applyFill="1" applyBorder="1" applyAlignment="1">
      <alignment horizontal="center" vertical="center"/>
    </xf>
    <xf numFmtId="0" fontId="17" fillId="2" borderId="20" xfId="0" applyNumberFormat="1" applyFont="1" applyFill="1" applyBorder="1" applyAlignment="1">
      <alignment horizontal="center" vertical="center"/>
    </xf>
    <xf numFmtId="0" fontId="11" fillId="2" borderId="17" xfId="0" applyNumberFormat="1" applyFont="1" applyFill="1" applyBorder="1" applyAlignment="1">
      <alignment horizontal="right"/>
    </xf>
    <xf numFmtId="0" fontId="17" fillId="2" borderId="24" xfId="0" applyNumberFormat="1" applyFont="1" applyFill="1" applyBorder="1" applyAlignment="1">
      <alignment horizontal="center" vertical="center" wrapText="1"/>
    </xf>
    <xf numFmtId="0" fontId="11" fillId="2" borderId="17" xfId="0" applyNumberFormat="1" applyFont="1" applyFill="1" applyBorder="1" applyAlignment="1">
      <alignment horizontal="center" vertical="center"/>
    </xf>
    <xf numFmtId="0" fontId="11" fillId="2" borderId="17" xfId="0" applyNumberFormat="1" applyFont="1" applyFill="1" applyBorder="1" applyAlignment="1">
      <alignment horizontal="left" wrapText="1"/>
    </xf>
    <xf numFmtId="0" fontId="11" fillId="2" borderId="12" xfId="0" applyNumberFormat="1" applyFont="1" applyFill="1" applyBorder="1" applyAlignment="1">
      <alignment horizontal="center" vertical="center"/>
    </xf>
    <xf numFmtId="0" fontId="11" fillId="4" borderId="17" xfId="0" applyNumberFormat="1" applyFont="1" applyFill="1" applyBorder="1" applyAlignment="1">
      <alignment horizontal="center"/>
    </xf>
    <xf numFmtId="0" fontId="17" fillId="2" borderId="18" xfId="0" applyNumberFormat="1" applyFont="1" applyFill="1" applyBorder="1" applyAlignment="1">
      <alignment horizontal="center" vertical="center" wrapText="1"/>
    </xf>
    <xf numFmtId="0" fontId="11" fillId="20" borderId="7" xfId="0" applyNumberFormat="1" applyFont="1" applyFill="1" applyBorder="1" applyAlignment="1">
      <alignment horizontal="left" wrapText="1"/>
    </xf>
    <xf numFmtId="0" fontId="11" fillId="20" borderId="12" xfId="0" applyNumberFormat="1" applyFont="1" applyFill="1" applyBorder="1" applyAlignment="1">
      <alignment horizontal="left" wrapText="1"/>
    </xf>
    <xf numFmtId="0" fontId="11" fillId="2" borderId="12" xfId="0" applyNumberFormat="1" applyFont="1" applyFill="1" applyBorder="1" applyAlignment="1">
      <alignment horizontal="center" wrapText="1"/>
    </xf>
    <xf numFmtId="0" fontId="17" fillId="2" borderId="39" xfId="0" applyNumberFormat="1" applyFont="1" applyFill="1" applyBorder="1" applyAlignment="1">
      <alignment horizontal="center" vertical="center"/>
    </xf>
    <xf numFmtId="0" fontId="11" fillId="2" borderId="17" xfId="0" applyNumberFormat="1" applyFont="1" applyFill="1" applyBorder="1" applyAlignment="1">
      <alignment horizontal="center" vertical="center" wrapText="1"/>
    </xf>
    <xf numFmtId="0" fontId="11" fillId="2" borderId="7" xfId="0" applyNumberFormat="1" applyFont="1" applyFill="1" applyBorder="1" applyAlignment="1">
      <alignment horizontal="center" vertical="center" wrapText="1"/>
    </xf>
    <xf numFmtId="0" fontId="11" fillId="2" borderId="12" xfId="0" applyNumberFormat="1" applyFont="1" applyFill="1" applyBorder="1" applyAlignment="1">
      <alignment horizontal="center" vertical="center" wrapText="1"/>
    </xf>
    <xf numFmtId="0" fontId="11" fillId="2" borderId="25" xfId="0" applyNumberFormat="1" applyFont="1" applyFill="1" applyBorder="1" applyAlignment="1">
      <alignment horizontal="center" vertical="center" wrapText="1"/>
    </xf>
    <xf numFmtId="0" fontId="11" fillId="2" borderId="10" xfId="0" applyNumberFormat="1" applyFont="1" applyFill="1" applyBorder="1" applyAlignment="1">
      <alignment horizontal="center" vertical="center"/>
    </xf>
    <xf numFmtId="0" fontId="11" fillId="2" borderId="28" xfId="0" applyNumberFormat="1" applyFont="1" applyFill="1" applyBorder="1" applyAlignment="1">
      <alignment horizontal="center" vertical="center"/>
    </xf>
    <xf numFmtId="0" fontId="17" fillId="2" borderId="18" xfId="0" applyNumberFormat="1" applyFont="1" applyFill="1" applyBorder="1" applyAlignment="1">
      <alignment horizontal="center"/>
    </xf>
    <xf numFmtId="0" fontId="17" fillId="2" borderId="24" xfId="0" applyNumberFormat="1" applyFont="1" applyFill="1" applyBorder="1" applyAlignment="1">
      <alignment horizontal="center"/>
    </xf>
    <xf numFmtId="0" fontId="11" fillId="2" borderId="2" xfId="0" applyNumberFormat="1" applyFont="1" applyFill="1" applyBorder="1" applyAlignment="1">
      <alignment horizontal="left" wrapText="1"/>
    </xf>
    <xf numFmtId="0" fontId="11" fillId="2" borderId="11" xfId="0" applyNumberFormat="1" applyFont="1" applyFill="1" applyBorder="1" applyAlignment="1">
      <alignment horizontal="left" wrapText="1"/>
    </xf>
    <xf numFmtId="0" fontId="11" fillId="2" borderId="14" xfId="0" applyNumberFormat="1" applyFont="1" applyFill="1" applyBorder="1" applyAlignment="1">
      <alignment horizontal="center"/>
    </xf>
    <xf numFmtId="0" fontId="11" fillId="2" borderId="1" xfId="0" applyNumberFormat="1" applyFont="1" applyFill="1" applyBorder="1" applyAlignment="1">
      <alignment horizontal="center" vertical="center"/>
    </xf>
    <xf numFmtId="49" fontId="15" fillId="2" borderId="10" xfId="0" applyNumberFormat="1" applyFont="1" applyFill="1" applyBorder="1" applyAlignment="1">
      <alignment horizontal="left"/>
    </xf>
    <xf numFmtId="0" fontId="15" fillId="2" borderId="10" xfId="0" applyNumberFormat="1" applyFont="1" applyFill="1" applyBorder="1" applyAlignment="1">
      <alignment horizontal="left" wrapText="1"/>
    </xf>
    <xf numFmtId="0" fontId="11" fillId="2" borderId="2" xfId="0" applyNumberFormat="1" applyFont="1" applyFill="1" applyBorder="1" applyAlignment="1">
      <alignment horizontal="left" vertical="center" wrapText="1"/>
    </xf>
    <xf numFmtId="0" fontId="11" fillId="2" borderId="11" xfId="0" applyNumberFormat="1" applyFont="1" applyFill="1" applyBorder="1" applyAlignment="1">
      <alignment horizontal="left" vertical="center" wrapText="1"/>
    </xf>
    <xf numFmtId="4" fontId="11" fillId="2" borderId="17" xfId="0" applyNumberFormat="1" applyFont="1" applyFill="1" applyBorder="1" applyAlignment="1">
      <alignment horizontal="center"/>
    </xf>
    <xf numFmtId="0" fontId="15" fillId="2" borderId="10" xfId="0" applyNumberFormat="1" applyFont="1" applyFill="1" applyBorder="1" applyAlignment="1">
      <alignment horizontal="left"/>
    </xf>
    <xf numFmtId="4" fontId="11" fillId="2" borderId="14" xfId="0" applyNumberFormat="1" applyFont="1" applyFill="1" applyBorder="1" applyAlignment="1">
      <alignment horizontal="center" vertical="center"/>
    </xf>
    <xf numFmtId="4" fontId="11" fillId="2" borderId="17" xfId="0" applyNumberFormat="1" applyFont="1" applyFill="1" applyBorder="1" applyAlignment="1">
      <alignment horizontal="center" vertical="center"/>
    </xf>
    <xf numFmtId="2" fontId="11" fillId="2" borderId="17" xfId="0" applyNumberFormat="1" applyFont="1" applyFill="1" applyBorder="1" applyAlignment="1">
      <alignment horizontal="center"/>
    </xf>
    <xf numFmtId="0" fontId="11" fillId="2" borderId="8" xfId="0" applyNumberFormat="1" applyFont="1" applyFill="1" applyBorder="1" applyAlignment="1">
      <alignment horizontal="center"/>
    </xf>
    <xf numFmtId="0" fontId="11" fillId="2" borderId="38" xfId="0" applyNumberFormat="1" applyFont="1" applyFill="1" applyBorder="1" applyAlignment="1">
      <alignment horizontal="center"/>
    </xf>
    <xf numFmtId="0" fontId="11" fillId="2" borderId="4" xfId="0" applyNumberFormat="1" applyFont="1" applyFill="1" applyBorder="1" applyAlignment="1">
      <alignment horizontal="center" vertical="center"/>
    </xf>
    <xf numFmtId="0" fontId="11" fillId="2" borderId="21" xfId="0" applyNumberFormat="1" applyFont="1" applyFill="1" applyBorder="1" applyAlignment="1">
      <alignment horizontal="center" vertical="center"/>
    </xf>
    <xf numFmtId="0" fontId="19" fillId="2" borderId="0" xfId="0" applyFont="1" applyFill="1" applyAlignment="1">
      <alignment horizontal="justify" wrapText="1"/>
    </xf>
    <xf numFmtId="0" fontId="12" fillId="2" borderId="0" xfId="0" applyFont="1" applyFill="1" applyAlignment="1">
      <alignment horizontal="justify" wrapText="1"/>
    </xf>
    <xf numFmtId="0" fontId="11" fillId="2" borderId="5" xfId="0" applyNumberFormat="1" applyFont="1" applyFill="1" applyBorder="1" applyAlignment="1">
      <alignment horizontal="left" vertical="center" wrapText="1"/>
    </xf>
    <xf numFmtId="171" fontId="11" fillId="2" borderId="7" xfId="1" applyFont="1" applyFill="1" applyBorder="1" applyAlignment="1">
      <alignment horizontal="center" vertical="center" shrinkToFit="1"/>
    </xf>
    <xf numFmtId="171" fontId="11" fillId="2" borderId="25" xfId="1" applyFont="1" applyFill="1" applyBorder="1" applyAlignment="1">
      <alignment horizontal="center" vertical="center" shrinkToFit="1"/>
    </xf>
    <xf numFmtId="0" fontId="2" fillId="2" borderId="4" xfId="0" applyNumberFormat="1" applyFont="1" applyFill="1" applyBorder="1" applyAlignment="1">
      <alignment horizontal="center" vertical="center"/>
    </xf>
    <xf numFmtId="0" fontId="2" fillId="2" borderId="22" xfId="0" applyNumberFormat="1" applyFont="1" applyFill="1" applyBorder="1" applyAlignment="1">
      <alignment horizontal="center" vertical="center"/>
    </xf>
    <xf numFmtId="4" fontId="11" fillId="2" borderId="7" xfId="0" applyNumberFormat="1" applyFont="1" applyFill="1" applyBorder="1" applyAlignment="1">
      <alignment horizontal="left" vertical="center" wrapText="1"/>
    </xf>
    <xf numFmtId="4" fontId="11" fillId="2" borderId="12" xfId="0" applyNumberFormat="1" applyFont="1" applyFill="1" applyBorder="1" applyAlignment="1">
      <alignment horizontal="left" vertical="center" wrapText="1"/>
    </xf>
    <xf numFmtId="0" fontId="2" fillId="2" borderId="21"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0" fontId="17" fillId="2" borderId="35" xfId="0" applyNumberFormat="1" applyFont="1" applyFill="1" applyBorder="1" applyAlignment="1">
      <alignment horizontal="center" vertical="center" wrapText="1"/>
    </xf>
    <xf numFmtId="0" fontId="18" fillId="2" borderId="32" xfId="0" applyFont="1" applyFill="1" applyBorder="1"/>
    <xf numFmtId="0" fontId="18" fillId="2" borderId="29" xfId="0" applyFont="1" applyFill="1" applyBorder="1"/>
    <xf numFmtId="0" fontId="17" fillId="2" borderId="36" xfId="0" applyNumberFormat="1" applyFont="1" applyFill="1" applyBorder="1" applyAlignment="1">
      <alignment horizontal="center" vertical="center" wrapText="1"/>
    </xf>
    <xf numFmtId="0" fontId="17" fillId="2" borderId="37" xfId="0" applyNumberFormat="1" applyFont="1" applyFill="1" applyBorder="1" applyAlignment="1">
      <alignment horizontal="center" vertical="center" wrapText="1"/>
    </xf>
    <xf numFmtId="0" fontId="17" fillId="2" borderId="30" xfId="0" applyNumberFormat="1" applyFont="1" applyFill="1" applyBorder="1" applyAlignment="1">
      <alignment horizontal="center" vertical="center" wrapText="1"/>
    </xf>
    <xf numFmtId="0" fontId="17" fillId="2" borderId="32" xfId="0" applyNumberFormat="1" applyFont="1" applyFill="1" applyBorder="1" applyAlignment="1">
      <alignment horizontal="center" vertical="center" wrapText="1"/>
    </xf>
    <xf numFmtId="0" fontId="17" fillId="2" borderId="29" xfId="0" applyNumberFormat="1" applyFont="1" applyFill="1" applyBorder="1" applyAlignment="1">
      <alignment horizontal="center" vertical="center" wrapText="1"/>
    </xf>
    <xf numFmtId="0" fontId="17" fillId="2" borderId="4" xfId="0" applyNumberFormat="1" applyFont="1" applyFill="1" applyBorder="1" applyAlignment="1">
      <alignment horizontal="center" vertical="center" wrapText="1"/>
    </xf>
    <xf numFmtId="0" fontId="17" fillId="2" borderId="21"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17" fillId="2" borderId="7" xfId="0" applyNumberFormat="1" applyFont="1" applyFill="1" applyBorder="1" applyAlignment="1">
      <alignment horizontal="center" vertical="center" wrapText="1"/>
    </xf>
    <xf numFmtId="0" fontId="17" fillId="2" borderId="12" xfId="0" applyNumberFormat="1" applyFont="1" applyFill="1" applyBorder="1" applyAlignment="1">
      <alignment horizontal="center" vertical="center" wrapText="1"/>
    </xf>
    <xf numFmtId="0" fontId="11" fillId="17" borderId="7" xfId="0" applyNumberFormat="1" applyFont="1" applyFill="1" applyBorder="1" applyAlignment="1">
      <alignment horizontal="left" vertical="center" wrapText="1"/>
    </xf>
    <xf numFmtId="0" fontId="11" fillId="17" borderId="12" xfId="0" applyNumberFormat="1" applyFont="1" applyFill="1" applyBorder="1" applyAlignment="1">
      <alignment horizontal="left" vertical="center" wrapText="1"/>
    </xf>
    <xf numFmtId="0" fontId="11" fillId="17" borderId="25" xfId="0" applyNumberFormat="1" applyFont="1" applyFill="1" applyBorder="1" applyAlignment="1">
      <alignment horizontal="left" vertical="center" wrapText="1"/>
    </xf>
    <xf numFmtId="0" fontId="11" fillId="17" borderId="7" xfId="0" applyNumberFormat="1" applyFont="1" applyFill="1" applyBorder="1" applyAlignment="1">
      <alignment horizontal="center" vertical="center" wrapText="1"/>
    </xf>
    <xf numFmtId="0" fontId="11" fillId="17" borderId="25" xfId="0" applyNumberFormat="1" applyFont="1" applyFill="1" applyBorder="1" applyAlignment="1">
      <alignment horizontal="center" vertical="center" wrapText="1"/>
    </xf>
    <xf numFmtId="2" fontId="11" fillId="17" borderId="7" xfId="0" applyNumberFormat="1" applyFont="1" applyFill="1" applyBorder="1" applyAlignment="1">
      <alignment horizontal="center"/>
    </xf>
    <xf numFmtId="2" fontId="11" fillId="17" borderId="25" xfId="0" applyNumberFormat="1" applyFont="1" applyFill="1" applyBorder="1" applyAlignment="1">
      <alignment horizontal="center"/>
    </xf>
    <xf numFmtId="0" fontId="17" fillId="2" borderId="22" xfId="0" applyNumberFormat="1" applyFont="1" applyFill="1" applyBorder="1" applyAlignment="1">
      <alignment horizontal="center" vertical="center"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0" fillId="0" borderId="0" xfId="0" applyAlignment="1">
      <alignment horizontal="left"/>
    </xf>
    <xf numFmtId="0" fontId="27" fillId="0" borderId="49"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41"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8" xfId="0" applyFont="1" applyBorder="1" applyAlignment="1">
      <alignment horizontal="center" vertical="center" wrapText="1"/>
    </xf>
    <xf numFmtId="0" fontId="13" fillId="2" borderId="0" xfId="0" applyNumberFormat="1" applyFont="1" applyFill="1" applyBorder="1" applyAlignment="1">
      <alignment horizontal="center" wrapText="1"/>
    </xf>
    <xf numFmtId="0" fontId="24" fillId="0" borderId="0" xfId="0" applyFont="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1"/>
  <sheetViews>
    <sheetView tabSelected="1" view="pageBreakPreview" zoomScaleNormal="100" zoomScaleSheetLayoutView="100" workbookViewId="0">
      <selection activeCell="D12" sqref="D12"/>
    </sheetView>
  </sheetViews>
  <sheetFormatPr defaultColWidth="0.88671875" defaultRowHeight="10.199999999999999" x14ac:dyDescent="0.2"/>
  <cols>
    <col min="1" max="1" width="19.88671875" style="1" customWidth="1"/>
    <col min="2" max="2" width="28" style="1" customWidth="1"/>
    <col min="3" max="3" width="6.6640625" style="1" customWidth="1"/>
    <col min="4" max="4" width="8.44140625" style="1" customWidth="1"/>
    <col min="5" max="5" width="7.33203125" style="1" customWidth="1"/>
    <col min="6" max="6" width="13.44140625" style="142" customWidth="1"/>
    <col min="7" max="7" width="14.6640625" style="1" customWidth="1"/>
    <col min="8" max="8" width="15.109375" style="1" customWidth="1"/>
    <col min="9" max="9" width="10.44140625" style="1" customWidth="1"/>
    <col min="10" max="16384" width="0.88671875" style="1"/>
  </cols>
  <sheetData>
    <row r="1" spans="3:9" s="3" customFormat="1" ht="9.6" x14ac:dyDescent="0.2">
      <c r="F1" s="31"/>
      <c r="G1" s="31"/>
      <c r="H1" s="31"/>
      <c r="I1" s="31"/>
    </row>
    <row r="2" spans="3:9" s="3" customFormat="1" ht="31.5" customHeight="1" x14ac:dyDescent="0.2">
      <c r="E2" s="467" t="s">
        <v>567</v>
      </c>
      <c r="F2" s="467"/>
      <c r="G2" s="467"/>
      <c r="H2" s="467"/>
      <c r="I2" s="467"/>
    </row>
    <row r="3" spans="3:9" ht="6" customHeight="1" x14ac:dyDescent="0.2"/>
    <row r="4" spans="3:9" s="3" customFormat="1" ht="10.5" customHeight="1" x14ac:dyDescent="0.2">
      <c r="F4" s="464"/>
      <c r="G4" s="464"/>
      <c r="H4" s="464"/>
      <c r="I4" s="464"/>
    </row>
    <row r="5" spans="3:9" ht="18" customHeight="1" x14ac:dyDescent="0.2"/>
    <row r="6" spans="3:9" s="3" customFormat="1" ht="13.2" x14ac:dyDescent="0.25">
      <c r="F6" s="143"/>
      <c r="G6" s="67" t="s">
        <v>21</v>
      </c>
      <c r="H6" s="31"/>
      <c r="I6" s="31"/>
    </row>
    <row r="7" spans="3:9" s="3" customFormat="1" ht="13.2" x14ac:dyDescent="0.25">
      <c r="F7" s="143"/>
      <c r="G7" s="446" t="s">
        <v>256</v>
      </c>
      <c r="H7" s="446"/>
      <c r="I7" s="446"/>
    </row>
    <row r="8" spans="3:9" s="4" customFormat="1" ht="7.8" x14ac:dyDescent="0.15">
      <c r="F8" s="144"/>
      <c r="G8" s="4" t="s">
        <v>17</v>
      </c>
      <c r="H8" s="30"/>
      <c r="I8" s="30"/>
    </row>
    <row r="9" spans="3:9" s="3" customFormat="1" ht="13.2" x14ac:dyDescent="0.25">
      <c r="F9" s="143"/>
      <c r="G9" s="446" t="s">
        <v>550</v>
      </c>
      <c r="H9" s="446"/>
      <c r="I9" s="446"/>
    </row>
    <row r="10" spans="3:9" s="4" customFormat="1" ht="7.8" x14ac:dyDescent="0.15">
      <c r="F10" s="144"/>
      <c r="G10" s="4" t="s">
        <v>18</v>
      </c>
      <c r="H10" s="30"/>
      <c r="I10" s="30"/>
    </row>
    <row r="11" spans="3:9" s="3" customFormat="1" ht="12.75" customHeight="1" x14ac:dyDescent="0.25">
      <c r="F11" s="143"/>
      <c r="G11" s="46"/>
      <c r="H11" s="446" t="s">
        <v>470</v>
      </c>
      <c r="I11" s="446"/>
    </row>
    <row r="12" spans="3:9" s="4" customFormat="1" ht="7.8" x14ac:dyDescent="0.15">
      <c r="D12" s="4" t="s">
        <v>598</v>
      </c>
      <c r="F12" s="144"/>
      <c r="G12" s="4" t="s">
        <v>257</v>
      </c>
      <c r="H12" s="470" t="s">
        <v>258</v>
      </c>
      <c r="I12" s="470"/>
    </row>
    <row r="13" spans="3:9" s="3" customFormat="1" ht="9.6" x14ac:dyDescent="0.2">
      <c r="F13" s="143"/>
      <c r="G13" s="3" t="s">
        <v>594</v>
      </c>
    </row>
    <row r="15" spans="3:9" s="5" customFormat="1" ht="13.2" x14ac:dyDescent="0.25">
      <c r="E15" s="196" t="s">
        <v>590</v>
      </c>
      <c r="F15" s="145"/>
    </row>
    <row r="16" spans="3:9" s="5" customFormat="1" ht="13.2" x14ac:dyDescent="0.25">
      <c r="C16" s="41"/>
      <c r="D16" s="42"/>
      <c r="E16" s="43" t="s">
        <v>591</v>
      </c>
      <c r="F16" s="145"/>
      <c r="I16" s="465" t="s">
        <v>22</v>
      </c>
    </row>
    <row r="17" spans="1:9" ht="10.8" thickBot="1" x14ac:dyDescent="0.25">
      <c r="I17" s="466"/>
    </row>
    <row r="18" spans="1:9" ht="12.75" customHeight="1" x14ac:dyDescent="0.2">
      <c r="C18" s="45"/>
      <c r="D18" s="44"/>
      <c r="E18" s="2" t="s">
        <v>592</v>
      </c>
      <c r="H18" s="2" t="s">
        <v>23</v>
      </c>
      <c r="I18" s="11"/>
    </row>
    <row r="19" spans="1:9" ht="18" customHeight="1" x14ac:dyDescent="0.2">
      <c r="A19" s="44" t="s">
        <v>26</v>
      </c>
      <c r="B19" s="44"/>
      <c r="H19" s="2" t="s">
        <v>24</v>
      </c>
      <c r="I19" s="14"/>
    </row>
    <row r="20" spans="1:9" ht="11.25" customHeight="1" x14ac:dyDescent="0.25">
      <c r="A20" s="1" t="s">
        <v>260</v>
      </c>
      <c r="B20" s="48"/>
      <c r="C20" s="46"/>
      <c r="D20" s="46"/>
      <c r="E20" s="46"/>
      <c r="F20" s="146" t="s">
        <v>261</v>
      </c>
      <c r="H20" s="2" t="s">
        <v>25</v>
      </c>
      <c r="I20" s="14" t="s">
        <v>254</v>
      </c>
    </row>
    <row r="21" spans="1:9" x14ac:dyDescent="0.2">
      <c r="H21" s="2" t="s">
        <v>24</v>
      </c>
      <c r="I21" s="14"/>
    </row>
    <row r="22" spans="1:9" x14ac:dyDescent="0.2">
      <c r="H22" s="2" t="s">
        <v>27</v>
      </c>
      <c r="I22" s="14" t="s">
        <v>471</v>
      </c>
    </row>
    <row r="23" spans="1:9" ht="26.25" customHeight="1" x14ac:dyDescent="0.25">
      <c r="A23" s="1" t="s">
        <v>262</v>
      </c>
      <c r="B23" s="449" t="s">
        <v>549</v>
      </c>
      <c r="C23" s="449"/>
      <c r="D23" s="449"/>
      <c r="E23" s="449"/>
      <c r="F23" s="449"/>
      <c r="H23" s="2" t="s">
        <v>28</v>
      </c>
      <c r="I23" s="14" t="s">
        <v>255</v>
      </c>
    </row>
    <row r="24" spans="1:9" ht="12" customHeight="1" thickBot="1" x14ac:dyDescent="0.25">
      <c r="A24" s="1" t="s">
        <v>31</v>
      </c>
      <c r="H24" s="2" t="s">
        <v>29</v>
      </c>
      <c r="I24" s="15" t="s">
        <v>30</v>
      </c>
    </row>
    <row r="26" spans="1:9" s="6" customFormat="1" x14ac:dyDescent="0.2">
      <c r="A26" s="451" t="s">
        <v>32</v>
      </c>
      <c r="B26" s="451"/>
      <c r="C26" s="451"/>
      <c r="D26" s="451"/>
      <c r="E26" s="451"/>
      <c r="F26" s="451"/>
      <c r="G26" s="451"/>
      <c r="H26" s="451"/>
      <c r="I26" s="451"/>
    </row>
    <row r="28" spans="1:9" ht="11.25" customHeight="1" x14ac:dyDescent="0.2">
      <c r="A28" s="456" t="s">
        <v>0</v>
      </c>
      <c r="B28" s="456"/>
      <c r="C28" s="447" t="s">
        <v>1</v>
      </c>
      <c r="D28" s="447" t="s">
        <v>2</v>
      </c>
      <c r="E28" s="460" t="s">
        <v>3</v>
      </c>
      <c r="F28" s="454" t="s">
        <v>8</v>
      </c>
      <c r="G28" s="455"/>
      <c r="H28" s="455"/>
      <c r="I28" s="455"/>
    </row>
    <row r="29" spans="1:9" ht="11.25" customHeight="1" x14ac:dyDescent="0.2">
      <c r="A29" s="457"/>
      <c r="B29" s="457"/>
      <c r="C29" s="459"/>
      <c r="D29" s="459"/>
      <c r="E29" s="461"/>
      <c r="F29" s="147" t="s">
        <v>259</v>
      </c>
      <c r="G29" s="18" t="s">
        <v>542</v>
      </c>
      <c r="H29" s="18" t="s">
        <v>597</v>
      </c>
      <c r="I29" s="447" t="s">
        <v>7</v>
      </c>
    </row>
    <row r="30" spans="1:9" ht="61.5" customHeight="1" x14ac:dyDescent="0.2">
      <c r="A30" s="458"/>
      <c r="B30" s="458"/>
      <c r="C30" s="448"/>
      <c r="D30" s="448"/>
      <c r="E30" s="462"/>
      <c r="F30" s="148" t="s">
        <v>4</v>
      </c>
      <c r="G30" s="9" t="s">
        <v>5</v>
      </c>
      <c r="H30" s="9" t="s">
        <v>6</v>
      </c>
      <c r="I30" s="448"/>
    </row>
    <row r="31" spans="1:9" ht="10.8" thickBot="1" x14ac:dyDescent="0.25">
      <c r="A31" s="450" t="s">
        <v>9</v>
      </c>
      <c r="B31" s="450"/>
      <c r="C31" s="29" t="s">
        <v>10</v>
      </c>
      <c r="D31" s="10" t="s">
        <v>11</v>
      </c>
      <c r="E31" s="10" t="s">
        <v>12</v>
      </c>
      <c r="F31" s="149" t="s">
        <v>13</v>
      </c>
      <c r="G31" s="10" t="s">
        <v>14</v>
      </c>
      <c r="H31" s="10" t="s">
        <v>15</v>
      </c>
      <c r="I31" s="10" t="s">
        <v>16</v>
      </c>
    </row>
    <row r="32" spans="1:9" ht="12.75" customHeight="1" x14ac:dyDescent="0.2">
      <c r="A32" s="469" t="s">
        <v>33</v>
      </c>
      <c r="B32" s="469"/>
      <c r="C32" s="11" t="s">
        <v>34</v>
      </c>
      <c r="D32" s="12" t="s">
        <v>35</v>
      </c>
      <c r="E32" s="12" t="s">
        <v>35</v>
      </c>
      <c r="F32" s="182">
        <f>SUM(F33:F34)</f>
        <v>1479997.81</v>
      </c>
      <c r="G32" s="182">
        <f>SUM(G33:G34)</f>
        <v>0</v>
      </c>
      <c r="H32" s="182">
        <f>SUM(H33:H34)</f>
        <v>0</v>
      </c>
      <c r="I32" s="13"/>
    </row>
    <row r="33" spans="1:9" ht="12" customHeight="1" x14ac:dyDescent="0.2">
      <c r="A33" s="56" t="s">
        <v>12</v>
      </c>
      <c r="B33" s="56" t="s">
        <v>406</v>
      </c>
      <c r="C33" s="27"/>
      <c r="D33" s="20"/>
      <c r="E33" s="20"/>
      <c r="F33" s="183">
        <v>398858.69</v>
      </c>
      <c r="G33" s="183"/>
      <c r="H33" s="183"/>
      <c r="I33" s="21"/>
    </row>
    <row r="34" spans="1:9" ht="12" customHeight="1" x14ac:dyDescent="0.2">
      <c r="A34" s="56" t="s">
        <v>10</v>
      </c>
      <c r="B34" s="56" t="s">
        <v>269</v>
      </c>
      <c r="C34" s="27"/>
      <c r="D34" s="20"/>
      <c r="E34" s="20"/>
      <c r="F34" s="158">
        <v>1081139.1200000001</v>
      </c>
      <c r="G34" s="158"/>
      <c r="H34" s="158"/>
      <c r="I34" s="21"/>
    </row>
    <row r="35" spans="1:9" ht="12.75" customHeight="1" x14ac:dyDescent="0.2">
      <c r="A35" s="469" t="s">
        <v>36</v>
      </c>
      <c r="B35" s="469"/>
      <c r="C35" s="14" t="s">
        <v>37</v>
      </c>
      <c r="D35" s="16" t="s">
        <v>35</v>
      </c>
      <c r="E35" s="16" t="s">
        <v>35</v>
      </c>
      <c r="F35" s="151">
        <f>F32+F36-F83</f>
        <v>0</v>
      </c>
      <c r="G35" s="151">
        <f>G32+G36-G83</f>
        <v>100740</v>
      </c>
      <c r="H35" s="151">
        <f>H32+H36-H83</f>
        <v>100740</v>
      </c>
      <c r="I35" s="17"/>
    </row>
    <row r="36" spans="1:9" ht="17.25" customHeight="1" x14ac:dyDescent="0.2">
      <c r="A36" s="468" t="s">
        <v>38</v>
      </c>
      <c r="B36" s="468"/>
      <c r="C36" s="189" t="s">
        <v>39</v>
      </c>
      <c r="D36" s="190"/>
      <c r="E36" s="191"/>
      <c r="F36" s="192">
        <f>F37+F40+F53+F56+F76</f>
        <v>48894353.019999996</v>
      </c>
      <c r="G36" s="192">
        <f>G37+G40+G53+G56+G76</f>
        <v>47769263.549999997</v>
      </c>
      <c r="H36" s="192">
        <f>H37+H40+H53+H56+H76</f>
        <v>47653463.549999997</v>
      </c>
      <c r="I36" s="193"/>
    </row>
    <row r="37" spans="1:9" ht="22.5" customHeight="1" x14ac:dyDescent="0.2">
      <c r="A37" s="426" t="s">
        <v>40</v>
      </c>
      <c r="B37" s="426"/>
      <c r="C37" s="14" t="s">
        <v>41</v>
      </c>
      <c r="D37" s="16" t="s">
        <v>42</v>
      </c>
      <c r="E37" s="16"/>
      <c r="F37" s="208">
        <f>F39</f>
        <v>0</v>
      </c>
      <c r="G37" s="208">
        <f>G39</f>
        <v>0</v>
      </c>
      <c r="H37" s="208">
        <f>H39</f>
        <v>0</v>
      </c>
      <c r="I37" s="17"/>
    </row>
    <row r="38" spans="1:9" x14ac:dyDescent="0.2">
      <c r="A38" s="453" t="s">
        <v>43</v>
      </c>
      <c r="B38" s="453"/>
      <c r="C38" s="36" t="s">
        <v>44</v>
      </c>
      <c r="D38" s="53"/>
      <c r="E38" s="54"/>
      <c r="F38" s="154"/>
      <c r="G38" s="154"/>
      <c r="H38" s="154"/>
      <c r="I38" s="435"/>
    </row>
    <row r="39" spans="1:9" ht="10.8" thickBot="1" x14ac:dyDescent="0.25">
      <c r="A39" s="56" t="s">
        <v>10</v>
      </c>
      <c r="B39" s="56" t="s">
        <v>462</v>
      </c>
      <c r="C39" s="306"/>
      <c r="D39" s="278" t="s">
        <v>459</v>
      </c>
      <c r="E39" s="307"/>
      <c r="F39" s="308">
        <v>0</v>
      </c>
      <c r="G39" s="308"/>
      <c r="H39" s="308"/>
      <c r="I39" s="452"/>
    </row>
    <row r="40" spans="1:9" ht="11.1" customHeight="1" x14ac:dyDescent="0.2">
      <c r="A40" s="426" t="s">
        <v>45</v>
      </c>
      <c r="B40" s="426"/>
      <c r="C40" s="11" t="s">
        <v>46</v>
      </c>
      <c r="D40" s="12" t="s">
        <v>47</v>
      </c>
      <c r="E40" s="12"/>
      <c r="F40" s="150">
        <f>F41+F48+F49+F50+F51</f>
        <v>47391063.549999997</v>
      </c>
      <c r="G40" s="150">
        <f>G41+G48+G49+G50+G51</f>
        <v>47612263.549999997</v>
      </c>
      <c r="H40" s="150">
        <f>H41+H48+H49+H50+H51</f>
        <v>47511463.549999997</v>
      </c>
      <c r="I40" s="13"/>
    </row>
    <row r="41" spans="1:9" ht="43.5" customHeight="1" x14ac:dyDescent="0.2">
      <c r="A41" s="425" t="s">
        <v>263</v>
      </c>
      <c r="B41" s="425"/>
      <c r="C41" s="14" t="s">
        <v>48</v>
      </c>
      <c r="D41" s="16" t="s">
        <v>47</v>
      </c>
      <c r="E41" s="16"/>
      <c r="F41" s="194">
        <f>SUM(F42:F47)</f>
        <v>46440063.549999997</v>
      </c>
      <c r="G41" s="194">
        <f>SUM(G42:G46)</f>
        <v>46661263.549999997</v>
      </c>
      <c r="H41" s="194">
        <f>SUM(H42:H46)</f>
        <v>46560463.549999997</v>
      </c>
      <c r="I41" s="17"/>
    </row>
    <row r="42" spans="1:9" ht="10.5" customHeight="1" x14ac:dyDescent="0.2">
      <c r="A42" s="56" t="s">
        <v>12</v>
      </c>
      <c r="B42" s="56" t="s">
        <v>472</v>
      </c>
      <c r="C42" s="14"/>
      <c r="D42" s="16" t="s">
        <v>47</v>
      </c>
      <c r="E42" s="16"/>
      <c r="F42" s="155">
        <f>39581940</f>
        <v>39581940</v>
      </c>
      <c r="G42" s="155">
        <v>46661263.549999997</v>
      </c>
      <c r="H42" s="155">
        <v>46560463.549999997</v>
      </c>
      <c r="I42" s="17"/>
    </row>
    <row r="43" spans="1:9" ht="10.5" customHeight="1" x14ac:dyDescent="0.2">
      <c r="A43" s="56" t="s">
        <v>12</v>
      </c>
      <c r="B43" s="56" t="s">
        <v>473</v>
      </c>
      <c r="C43" s="14"/>
      <c r="D43" s="16" t="s">
        <v>47</v>
      </c>
      <c r="E43" s="16"/>
      <c r="F43" s="155">
        <f>2802244+846277.73</f>
        <v>3648521.73</v>
      </c>
      <c r="G43" s="155"/>
      <c r="H43" s="155"/>
      <c r="I43" s="17"/>
    </row>
    <row r="44" spans="1:9" ht="10.5" customHeight="1" x14ac:dyDescent="0.2">
      <c r="A44" s="56" t="s">
        <v>12</v>
      </c>
      <c r="B44" s="56" t="s">
        <v>474</v>
      </c>
      <c r="C44" s="14"/>
      <c r="D44" s="16" t="s">
        <v>47</v>
      </c>
      <c r="E44" s="16"/>
      <c r="F44" s="155">
        <f>2465000+744601.82</f>
        <v>3209601.82</v>
      </c>
      <c r="G44" s="155"/>
      <c r="H44" s="155"/>
      <c r="I44" s="17"/>
    </row>
    <row r="45" spans="1:9" ht="10.5" customHeight="1" x14ac:dyDescent="0.2">
      <c r="A45" s="56" t="s">
        <v>12</v>
      </c>
      <c r="B45" s="56" t="s">
        <v>555</v>
      </c>
      <c r="C45" s="14"/>
      <c r="D45" s="16" t="s">
        <v>47</v>
      </c>
      <c r="E45" s="16"/>
      <c r="F45" s="155"/>
      <c r="G45" s="155"/>
      <c r="H45" s="155"/>
      <c r="I45" s="17"/>
    </row>
    <row r="46" spans="1:9" ht="10.5" customHeight="1" x14ac:dyDescent="0.2">
      <c r="A46" s="56" t="s">
        <v>12</v>
      </c>
      <c r="B46" s="56" t="s">
        <v>552</v>
      </c>
      <c r="C46" s="14"/>
      <c r="D46" s="16" t="s">
        <v>47</v>
      </c>
      <c r="E46" s="16"/>
      <c r="F46" s="155"/>
      <c r="G46" s="155"/>
      <c r="H46" s="155"/>
      <c r="I46" s="17"/>
    </row>
    <row r="47" spans="1:9" ht="10.5" customHeight="1" x14ac:dyDescent="0.2">
      <c r="A47" s="56" t="s">
        <v>12</v>
      </c>
      <c r="B47" s="56" t="s">
        <v>553</v>
      </c>
      <c r="C47" s="14"/>
      <c r="D47" s="16" t="s">
        <v>47</v>
      </c>
      <c r="E47" s="16"/>
      <c r="F47" s="155"/>
      <c r="G47" s="155"/>
      <c r="H47" s="155"/>
      <c r="I47" s="17"/>
    </row>
    <row r="48" spans="1:9" ht="10.5" customHeight="1" x14ac:dyDescent="0.2">
      <c r="A48" s="56" t="s">
        <v>10</v>
      </c>
      <c r="B48" s="56" t="s">
        <v>456</v>
      </c>
      <c r="C48" s="14"/>
      <c r="D48" s="16" t="s">
        <v>89</v>
      </c>
      <c r="E48" s="16"/>
      <c r="F48" s="157"/>
      <c r="G48" s="157"/>
      <c r="H48" s="157"/>
      <c r="I48" s="17"/>
    </row>
    <row r="49" spans="1:9" ht="10.5" customHeight="1" x14ac:dyDescent="0.2">
      <c r="A49" s="56" t="s">
        <v>10</v>
      </c>
      <c r="B49" s="56" t="s">
        <v>457</v>
      </c>
      <c r="C49" s="14"/>
      <c r="D49" s="16" t="s">
        <v>89</v>
      </c>
      <c r="E49" s="16"/>
      <c r="F49" s="157"/>
      <c r="G49" s="157"/>
      <c r="H49" s="157"/>
      <c r="I49" s="17"/>
    </row>
    <row r="50" spans="1:9" ht="10.5" customHeight="1" x14ac:dyDescent="0.2">
      <c r="A50" s="56" t="s">
        <v>10</v>
      </c>
      <c r="B50" s="56" t="s">
        <v>269</v>
      </c>
      <c r="C50" s="14"/>
      <c r="D50" s="16" t="s">
        <v>89</v>
      </c>
      <c r="E50" s="16"/>
      <c r="F50" s="157">
        <f>951000</f>
        <v>951000</v>
      </c>
      <c r="G50" s="157">
        <f>951000</f>
        <v>951000</v>
      </c>
      <c r="H50" s="157">
        <f>951000</f>
        <v>951000</v>
      </c>
      <c r="I50" s="17"/>
    </row>
    <row r="51" spans="1:9" ht="10.5" customHeight="1" x14ac:dyDescent="0.2">
      <c r="A51" s="56" t="s">
        <v>10</v>
      </c>
      <c r="B51" s="56" t="s">
        <v>460</v>
      </c>
      <c r="C51" s="14"/>
      <c r="D51" s="16" t="s">
        <v>461</v>
      </c>
      <c r="E51" s="16"/>
      <c r="F51" s="157"/>
      <c r="G51" s="157"/>
      <c r="H51" s="157"/>
      <c r="I51" s="17"/>
    </row>
    <row r="52" spans="1:9" ht="11.1" customHeight="1" x14ac:dyDescent="0.2">
      <c r="A52" s="463"/>
      <c r="B52" s="463"/>
      <c r="C52" s="14"/>
      <c r="D52" s="16"/>
      <c r="E52" s="16"/>
      <c r="F52" s="151"/>
      <c r="G52" s="151"/>
      <c r="H52" s="151"/>
      <c r="I52" s="17"/>
    </row>
    <row r="53" spans="1:9" ht="11.1" customHeight="1" x14ac:dyDescent="0.2">
      <c r="A53" s="426" t="s">
        <v>49</v>
      </c>
      <c r="B53" s="426"/>
      <c r="C53" s="14" t="s">
        <v>50</v>
      </c>
      <c r="D53" s="16" t="s">
        <v>51</v>
      </c>
      <c r="E53" s="16"/>
      <c r="F53" s="151"/>
      <c r="G53" s="151"/>
      <c r="H53" s="151"/>
      <c r="I53" s="17"/>
    </row>
    <row r="54" spans="1:9" ht="11.1" customHeight="1" x14ac:dyDescent="0.2">
      <c r="A54" s="453" t="s">
        <v>43</v>
      </c>
      <c r="B54" s="453"/>
      <c r="C54" s="443" t="s">
        <v>52</v>
      </c>
      <c r="D54" s="439" t="s">
        <v>51</v>
      </c>
      <c r="E54" s="441"/>
      <c r="F54" s="437"/>
      <c r="G54" s="437"/>
      <c r="H54" s="437"/>
      <c r="I54" s="435"/>
    </row>
    <row r="55" spans="1:9" ht="11.1" customHeight="1" x14ac:dyDescent="0.2">
      <c r="A55" s="445"/>
      <c r="B55" s="445"/>
      <c r="C55" s="444"/>
      <c r="D55" s="440"/>
      <c r="E55" s="442"/>
      <c r="F55" s="438"/>
      <c r="G55" s="438"/>
      <c r="H55" s="438"/>
      <c r="I55" s="436"/>
    </row>
    <row r="56" spans="1:9" ht="11.1" customHeight="1" x14ac:dyDescent="0.2">
      <c r="A56" s="426" t="s">
        <v>53</v>
      </c>
      <c r="B56" s="426"/>
      <c r="C56" s="364" t="s">
        <v>54</v>
      </c>
      <c r="D56" s="16" t="s">
        <v>55</v>
      </c>
      <c r="E56" s="16"/>
      <c r="F56" s="151">
        <f>SUM(F57:F60)</f>
        <v>1503289.47</v>
      </c>
      <c r="G56" s="151">
        <f>SUM(G57:G60)</f>
        <v>157000</v>
      </c>
      <c r="H56" s="151">
        <f>SUM(H57:H60)</f>
        <v>142000</v>
      </c>
      <c r="I56" s="17"/>
    </row>
    <row r="57" spans="1:9" ht="11.1" customHeight="1" x14ac:dyDescent="0.2">
      <c r="A57" s="434" t="s">
        <v>43</v>
      </c>
      <c r="B57" s="434"/>
      <c r="C57" s="52"/>
      <c r="D57" s="53"/>
      <c r="E57" s="54"/>
      <c r="F57" s="154"/>
      <c r="G57" s="154"/>
      <c r="H57" s="154"/>
      <c r="I57" s="435"/>
    </row>
    <row r="58" spans="1:9" ht="11.1" customHeight="1" x14ac:dyDescent="0.2">
      <c r="A58" s="57">
        <v>2</v>
      </c>
      <c r="B58" s="159" t="s">
        <v>401</v>
      </c>
      <c r="C58" s="176"/>
      <c r="D58" s="20" t="s">
        <v>458</v>
      </c>
      <c r="E58" s="177"/>
      <c r="F58" s="178"/>
      <c r="G58" s="178"/>
      <c r="H58" s="178"/>
      <c r="I58" s="436"/>
    </row>
    <row r="59" spans="1:9" ht="11.1" customHeight="1" x14ac:dyDescent="0.2">
      <c r="A59" s="426"/>
      <c r="B59" s="426"/>
      <c r="C59" s="14"/>
      <c r="D59" s="16"/>
      <c r="E59" s="16"/>
      <c r="F59" s="151"/>
      <c r="G59" s="151"/>
      <c r="H59" s="151"/>
      <c r="I59" s="17"/>
    </row>
    <row r="60" spans="1:9" ht="11.1" customHeight="1" x14ac:dyDescent="0.2">
      <c r="A60" s="434" t="s">
        <v>43</v>
      </c>
      <c r="B60" s="434"/>
      <c r="C60" s="365" t="s">
        <v>507</v>
      </c>
      <c r="D60" s="19" t="s">
        <v>55</v>
      </c>
      <c r="E60" s="47"/>
      <c r="F60" s="181">
        <f>SUM(F61:F73)</f>
        <v>1503289.47</v>
      </c>
      <c r="G60" s="181">
        <f>SUM(G61:G73)</f>
        <v>157000</v>
      </c>
      <c r="H60" s="181">
        <f>SUM(H61:H73)</f>
        <v>142000</v>
      </c>
      <c r="I60" s="18"/>
    </row>
    <row r="61" spans="1:9" ht="11.1" customHeight="1" x14ac:dyDescent="0.2">
      <c r="A61" s="28" t="s">
        <v>58</v>
      </c>
      <c r="B61" s="51"/>
      <c r="C61" s="27"/>
      <c r="D61" s="20" t="s">
        <v>55</v>
      </c>
      <c r="E61" s="20"/>
      <c r="F61" s="180"/>
      <c r="G61" s="180"/>
      <c r="H61" s="180"/>
      <c r="I61" s="21"/>
    </row>
    <row r="62" spans="1:9" ht="11.1" customHeight="1" x14ac:dyDescent="0.2">
      <c r="A62" s="57">
        <v>5</v>
      </c>
      <c r="B62" s="57">
        <v>74200403</v>
      </c>
      <c r="C62" s="27"/>
      <c r="D62" s="20" t="s">
        <v>55</v>
      </c>
      <c r="E62" s="20"/>
      <c r="F62" s="180"/>
      <c r="G62" s="180"/>
      <c r="H62" s="180"/>
      <c r="I62" s="21"/>
    </row>
    <row r="63" spans="1:9" ht="11.1" customHeight="1" x14ac:dyDescent="0.2">
      <c r="A63" s="57">
        <v>5</v>
      </c>
      <c r="B63" s="57">
        <v>74200507</v>
      </c>
      <c r="C63" s="27"/>
      <c r="D63" s="20" t="s">
        <v>55</v>
      </c>
      <c r="E63" s="20"/>
      <c r="F63" s="180"/>
      <c r="G63" s="180"/>
      <c r="H63" s="180"/>
      <c r="I63" s="21"/>
    </row>
    <row r="64" spans="1:9" ht="11.1" customHeight="1" x14ac:dyDescent="0.2">
      <c r="A64" s="57">
        <v>5</v>
      </c>
      <c r="B64" s="57">
        <v>74200513</v>
      </c>
      <c r="C64" s="27"/>
      <c r="D64" s="20" t="s">
        <v>55</v>
      </c>
      <c r="E64" s="20"/>
      <c r="F64" s="180"/>
      <c r="G64" s="180"/>
      <c r="H64" s="180"/>
      <c r="I64" s="21"/>
    </row>
    <row r="65" spans="1:9" ht="11.1" customHeight="1" x14ac:dyDescent="0.2">
      <c r="A65" s="57">
        <v>5</v>
      </c>
      <c r="B65" s="57">
        <v>74200517</v>
      </c>
      <c r="C65" s="27"/>
      <c r="D65" s="20" t="s">
        <v>55</v>
      </c>
      <c r="E65" s="20"/>
      <c r="F65" s="180"/>
      <c r="G65" s="180"/>
      <c r="H65" s="180"/>
      <c r="I65" s="21"/>
    </row>
    <row r="66" spans="1:9" ht="11.1" customHeight="1" x14ac:dyDescent="0.2">
      <c r="A66" s="57">
        <v>5</v>
      </c>
      <c r="B66" s="57">
        <v>74200521</v>
      </c>
      <c r="C66" s="27"/>
      <c r="D66" s="20" t="s">
        <v>55</v>
      </c>
      <c r="E66" s="20"/>
      <c r="F66" s="180"/>
      <c r="G66" s="180"/>
      <c r="H66" s="180"/>
      <c r="I66" s="21"/>
    </row>
    <row r="67" spans="1:9" ht="11.1" customHeight="1" x14ac:dyDescent="0.2">
      <c r="A67" s="57">
        <v>5</v>
      </c>
      <c r="B67" s="57">
        <v>74200608</v>
      </c>
      <c r="C67" s="27"/>
      <c r="D67" s="20" t="s">
        <v>55</v>
      </c>
      <c r="E67" s="20"/>
      <c r="F67" s="180"/>
      <c r="G67" s="180"/>
      <c r="H67" s="180"/>
      <c r="I67" s="21"/>
    </row>
    <row r="68" spans="1:9" ht="11.1" customHeight="1" x14ac:dyDescent="0.2">
      <c r="A68" s="57">
        <v>5</v>
      </c>
      <c r="B68" s="57">
        <v>74200701</v>
      </c>
      <c r="C68" s="27"/>
      <c r="D68" s="20" t="s">
        <v>55</v>
      </c>
      <c r="E68" s="20"/>
      <c r="F68" s="180"/>
      <c r="G68" s="180"/>
      <c r="H68" s="180"/>
      <c r="I68" s="21"/>
    </row>
    <row r="69" spans="1:9" ht="11.1" customHeight="1" x14ac:dyDescent="0.2">
      <c r="A69" s="57">
        <v>5</v>
      </c>
      <c r="B69" s="57">
        <v>74201201</v>
      </c>
      <c r="C69" s="27"/>
      <c r="D69" s="20" t="s">
        <v>55</v>
      </c>
      <c r="E69" s="20"/>
      <c r="F69" s="180">
        <f>187500</f>
        <v>187500</v>
      </c>
      <c r="G69" s="180">
        <v>157000</v>
      </c>
      <c r="H69" s="180">
        <v>142000</v>
      </c>
      <c r="I69" s="21"/>
    </row>
    <row r="70" spans="1:9" ht="11.1" customHeight="1" x14ac:dyDescent="0.2">
      <c r="A70" s="57">
        <v>5</v>
      </c>
      <c r="B70" s="57">
        <v>74200301</v>
      </c>
      <c r="C70" s="27"/>
      <c r="D70" s="20" t="s">
        <v>55</v>
      </c>
      <c r="E70" s="20"/>
      <c r="F70" s="180"/>
      <c r="G70" s="180"/>
      <c r="H70" s="180"/>
      <c r="I70" s="21"/>
    </row>
    <row r="71" spans="1:9" ht="11.1" customHeight="1" x14ac:dyDescent="0.2">
      <c r="A71" s="57">
        <v>5</v>
      </c>
      <c r="B71" s="57">
        <v>74201303</v>
      </c>
      <c r="C71" s="27"/>
      <c r="D71" s="20" t="s">
        <v>55</v>
      </c>
      <c r="E71" s="20"/>
      <c r="F71" s="180"/>
      <c r="G71" s="180"/>
      <c r="H71" s="180"/>
      <c r="I71" s="21"/>
    </row>
    <row r="72" spans="1:9" ht="11.1" customHeight="1" x14ac:dyDescent="0.2">
      <c r="A72" s="57">
        <v>5</v>
      </c>
      <c r="B72" s="57">
        <v>74201406</v>
      </c>
      <c r="C72" s="27"/>
      <c r="D72" s="20" t="s">
        <v>55</v>
      </c>
      <c r="E72" s="20"/>
      <c r="F72" s="180">
        <v>65789.47</v>
      </c>
      <c r="G72" s="180"/>
      <c r="H72" s="180"/>
      <c r="I72" s="21"/>
    </row>
    <row r="73" spans="1:9" ht="11.1" customHeight="1" x14ac:dyDescent="0.2">
      <c r="A73" s="57">
        <v>5</v>
      </c>
      <c r="B73" s="57">
        <v>74201403</v>
      </c>
      <c r="C73" s="27"/>
      <c r="D73" s="20" t="s">
        <v>55</v>
      </c>
      <c r="E73" s="20"/>
      <c r="F73" s="180">
        <f>1050000+200000</f>
        <v>1250000</v>
      </c>
      <c r="G73" s="180"/>
      <c r="H73" s="180"/>
      <c r="I73" s="21"/>
    </row>
    <row r="74" spans="1:9" ht="11.1" customHeight="1" x14ac:dyDescent="0.2">
      <c r="A74" s="425" t="s">
        <v>59</v>
      </c>
      <c r="B74" s="425"/>
      <c r="C74" s="364" t="s">
        <v>508</v>
      </c>
      <c r="D74" s="16" t="s">
        <v>55</v>
      </c>
      <c r="E74" s="16"/>
      <c r="F74" s="151"/>
      <c r="G74" s="151"/>
      <c r="H74" s="151"/>
      <c r="I74" s="17"/>
    </row>
    <row r="75" spans="1:9" ht="11.1" customHeight="1" x14ac:dyDescent="0.2">
      <c r="A75" s="425" t="s">
        <v>56</v>
      </c>
      <c r="B75" s="425"/>
      <c r="C75" s="364" t="s">
        <v>57</v>
      </c>
      <c r="D75" s="16" t="s">
        <v>509</v>
      </c>
      <c r="E75" s="16"/>
      <c r="F75" s="151"/>
      <c r="G75" s="151"/>
      <c r="H75" s="151"/>
      <c r="I75" s="17"/>
    </row>
    <row r="76" spans="1:9" ht="11.1" customHeight="1" x14ac:dyDescent="0.2">
      <c r="A76" s="426" t="s">
        <v>60</v>
      </c>
      <c r="B76" s="426"/>
      <c r="C76" s="14" t="s">
        <v>61</v>
      </c>
      <c r="D76" s="16"/>
      <c r="E76" s="16"/>
      <c r="F76" s="151">
        <f>SUM(F77:F81)</f>
        <v>0</v>
      </c>
      <c r="G76" s="151">
        <f>SUM(G77:G81)</f>
        <v>0</v>
      </c>
      <c r="H76" s="151">
        <f>SUM(H77:H81)</f>
        <v>0</v>
      </c>
      <c r="I76" s="17"/>
    </row>
    <row r="77" spans="1:9" ht="11.1" customHeight="1" x14ac:dyDescent="0.2">
      <c r="A77" s="434" t="s">
        <v>43</v>
      </c>
      <c r="B77" s="434"/>
      <c r="C77" s="52"/>
      <c r="D77" s="53"/>
      <c r="E77" s="54"/>
      <c r="F77" s="179"/>
      <c r="G77" s="179"/>
      <c r="H77" s="179"/>
      <c r="I77" s="55"/>
    </row>
    <row r="78" spans="1:9" ht="11.1" customHeight="1" x14ac:dyDescent="0.2">
      <c r="A78" s="56">
        <v>2</v>
      </c>
      <c r="B78" s="56" t="s">
        <v>402</v>
      </c>
      <c r="C78" s="14"/>
      <c r="D78" s="16" t="s">
        <v>405</v>
      </c>
      <c r="E78" s="16"/>
      <c r="F78" s="157"/>
      <c r="G78" s="157"/>
      <c r="H78" s="157"/>
      <c r="I78" s="17"/>
    </row>
    <row r="79" spans="1:9" ht="11.1" customHeight="1" x14ac:dyDescent="0.2">
      <c r="A79" s="425"/>
      <c r="B79" s="425"/>
      <c r="C79" s="14"/>
      <c r="D79" s="16"/>
      <c r="E79" s="16"/>
      <c r="F79" s="151"/>
      <c r="G79" s="151"/>
      <c r="H79" s="151"/>
      <c r="I79" s="17"/>
    </row>
    <row r="80" spans="1:9" ht="12.75" customHeight="1" x14ac:dyDescent="0.2">
      <c r="A80" s="426" t="s">
        <v>62</v>
      </c>
      <c r="B80" s="426"/>
      <c r="C80" s="14" t="s">
        <v>63</v>
      </c>
      <c r="D80" s="16" t="s">
        <v>35</v>
      </c>
      <c r="E80" s="16"/>
      <c r="F80" s="151"/>
      <c r="G80" s="151"/>
      <c r="H80" s="151"/>
      <c r="I80" s="17"/>
    </row>
    <row r="81" spans="1:9" ht="33.75" customHeight="1" x14ac:dyDescent="0.2">
      <c r="A81" s="425" t="s">
        <v>64</v>
      </c>
      <c r="B81" s="425"/>
      <c r="C81" s="14" t="s">
        <v>65</v>
      </c>
      <c r="D81" s="16" t="s">
        <v>66</v>
      </c>
      <c r="E81" s="16"/>
      <c r="F81" s="151"/>
      <c r="G81" s="151"/>
      <c r="H81" s="151"/>
      <c r="I81" s="17" t="s">
        <v>35</v>
      </c>
    </row>
    <row r="82" spans="1:9" ht="11.1" customHeight="1" x14ac:dyDescent="0.2">
      <c r="A82" s="425"/>
      <c r="B82" s="425"/>
      <c r="C82" s="14"/>
      <c r="D82" s="16"/>
      <c r="E82" s="16"/>
      <c r="F82" s="151"/>
      <c r="G82" s="151"/>
      <c r="H82" s="151"/>
      <c r="I82" s="17"/>
    </row>
    <row r="83" spans="1:9" x14ac:dyDescent="0.2">
      <c r="A83" s="433" t="s">
        <v>67</v>
      </c>
      <c r="B83" s="433"/>
      <c r="C83" s="184" t="s">
        <v>68</v>
      </c>
      <c r="D83" s="185" t="s">
        <v>35</v>
      </c>
      <c r="E83" s="186"/>
      <c r="F83" s="187">
        <f>F87+F114+F122+F132+F139+F141</f>
        <v>50374350.829999998</v>
      </c>
      <c r="G83" s="187">
        <f>G87+G114+G122+G132+G139+G141</f>
        <v>47668523.549999997</v>
      </c>
      <c r="H83" s="187">
        <f>H87+H114+H122+H132+H139+H141</f>
        <v>47552723.549999997</v>
      </c>
      <c r="I83" s="188"/>
    </row>
    <row r="84" spans="1:9" x14ac:dyDescent="0.2">
      <c r="A84" s="50">
        <v>4</v>
      </c>
      <c r="B84" s="50" t="s">
        <v>267</v>
      </c>
      <c r="C84" s="14"/>
      <c r="D84" s="16" t="s">
        <v>35</v>
      </c>
      <c r="E84" s="16" t="s">
        <v>35</v>
      </c>
      <c r="F84" s="208">
        <f>F89+F92+F96+F99+F104+F124+F130+F150+F153+F156+F159+F161+F165+F170+F173+F176+F179+F182+F185+F188+F166+F127+F193</f>
        <v>46838922.239999995</v>
      </c>
      <c r="G84" s="208">
        <f>G89+G92+G96+G99+G104+G124+G130+G150+G153+G156+G159+G161+G165+G170+G173+G176+G179+G182+G185+G188+G166+G127+G193</f>
        <v>46560523.549999997</v>
      </c>
      <c r="H84" s="208">
        <f>H89+H92+H96+H99+H104+H124+H130+H150+H153+H156+H159+H161+H165+H170+H173+H176+H179+H182+H185+H188+H166+H127+H193</f>
        <v>46459723.549999997</v>
      </c>
      <c r="I84" s="17"/>
    </row>
    <row r="85" spans="1:9" x14ac:dyDescent="0.2">
      <c r="A85" s="50">
        <v>5</v>
      </c>
      <c r="B85" s="50" t="s">
        <v>268</v>
      </c>
      <c r="C85" s="14"/>
      <c r="D85" s="16" t="s">
        <v>35</v>
      </c>
      <c r="E85" s="16" t="s">
        <v>35</v>
      </c>
      <c r="F85" s="208">
        <f>F90+F93+F97+F100+F105+F117+F118+F125+F151+F154+F157+F160+F162+F167+F171+F174+F177+F180+F183+F186+F189+F163+F147+F120</f>
        <v>1503289.47</v>
      </c>
      <c r="G85" s="208">
        <f>G90+G93+G97+G100+G105+G117+G118+G125+G151+G154+G157+G160+G162+G167+G171+G174+G177+G180+G183+G186+G189</f>
        <v>157000</v>
      </c>
      <c r="H85" s="208">
        <f>H90+H93+H97+H100+H105+H117+H118+H125+H151+H154+H157+H160+H162+H167+H171+H174+H177+H180+H183+H186+H189</f>
        <v>142000</v>
      </c>
      <c r="I85" s="17"/>
    </row>
    <row r="86" spans="1:9" x14ac:dyDescent="0.2">
      <c r="A86" s="50">
        <v>2</v>
      </c>
      <c r="B86" s="50" t="s">
        <v>269</v>
      </c>
      <c r="C86" s="14"/>
      <c r="D86" s="16" t="s">
        <v>35</v>
      </c>
      <c r="E86" s="16" t="s">
        <v>35</v>
      </c>
      <c r="F86" s="208">
        <f>F91+F94+F98+F101+F106+F126+F152+F155+F158+F164+F168+F172+F175+F178+F181+F184+F187+F190+F169+F129+F194</f>
        <v>2032139.12</v>
      </c>
      <c r="G86" s="208">
        <f>G91+G94+G98+G101+G106+G126+G152+G155+G158+G164+G168+G172+G175+G178+G181+G184+G187+G190+G194</f>
        <v>951000</v>
      </c>
      <c r="H86" s="208">
        <f>H91+H94+H98+H101+H106+H126+H152+H155+H158+H164+H168+H172+H175+H178+H181+H184+H187+H190++H194</f>
        <v>951000</v>
      </c>
      <c r="I86" s="17"/>
    </row>
    <row r="87" spans="1:9" x14ac:dyDescent="0.2">
      <c r="A87" s="420" t="s">
        <v>69</v>
      </c>
      <c r="B87" s="420"/>
      <c r="C87" s="14" t="s">
        <v>70</v>
      </c>
      <c r="D87" s="16" t="s">
        <v>35</v>
      </c>
      <c r="E87" s="16"/>
      <c r="F87" s="151">
        <f>F88+F95+F102+F103</f>
        <v>39412823.549999997</v>
      </c>
      <c r="G87" s="151">
        <f>G88+G95+G102+G103</f>
        <v>39412823.549999997</v>
      </c>
      <c r="H87" s="151">
        <f>H88+H95+H102+H103</f>
        <v>39412823.549999997</v>
      </c>
      <c r="I87" s="17" t="s">
        <v>35</v>
      </c>
    </row>
    <row r="88" spans="1:9" x14ac:dyDescent="0.2">
      <c r="A88" s="425" t="s">
        <v>71</v>
      </c>
      <c r="B88" s="425"/>
      <c r="C88" s="14" t="s">
        <v>72</v>
      </c>
      <c r="D88" s="16" t="s">
        <v>73</v>
      </c>
      <c r="E88" s="16"/>
      <c r="F88" s="151">
        <f>SUM(F89:F94)</f>
        <v>30270944</v>
      </c>
      <c r="G88" s="151">
        <f>SUM(G89:G94)</f>
        <v>30271023.550000001</v>
      </c>
      <c r="H88" s="151">
        <f>SUM(H89:H94)</f>
        <v>30271023.550000001</v>
      </c>
      <c r="I88" s="17" t="s">
        <v>35</v>
      </c>
    </row>
    <row r="89" spans="1:9" x14ac:dyDescent="0.2">
      <c r="A89" s="50">
        <v>4</v>
      </c>
      <c r="B89" s="50" t="s">
        <v>267</v>
      </c>
      <c r="C89" s="14"/>
      <c r="D89" s="16" t="s">
        <v>73</v>
      </c>
      <c r="E89" s="16" t="s">
        <v>264</v>
      </c>
      <c r="F89" s="374">
        <f>24455900+2802244+2465000</f>
        <v>29723144</v>
      </c>
      <c r="G89" s="155">
        <v>29723223.550000001</v>
      </c>
      <c r="H89" s="155">
        <v>29723223.550000001</v>
      </c>
      <c r="I89" s="17"/>
    </row>
    <row r="90" spans="1:9" x14ac:dyDescent="0.2">
      <c r="A90" s="50">
        <v>5</v>
      </c>
      <c r="B90" s="50" t="s">
        <v>268</v>
      </c>
      <c r="C90" s="14"/>
      <c r="D90" s="16" t="s">
        <v>73</v>
      </c>
      <c r="E90" s="16" t="s">
        <v>264</v>
      </c>
      <c r="F90" s="156"/>
      <c r="G90" s="156"/>
      <c r="H90" s="156"/>
      <c r="I90" s="17"/>
    </row>
    <row r="91" spans="1:9" x14ac:dyDescent="0.2">
      <c r="A91" s="50">
        <v>2</v>
      </c>
      <c r="B91" s="50" t="s">
        <v>269</v>
      </c>
      <c r="C91" s="14"/>
      <c r="D91" s="16" t="s">
        <v>73</v>
      </c>
      <c r="E91" s="16" t="s">
        <v>264</v>
      </c>
      <c r="F91" s="157">
        <f>547800</f>
        <v>547800</v>
      </c>
      <c r="G91" s="157">
        <f>547800</f>
        <v>547800</v>
      </c>
      <c r="H91" s="157">
        <f>547800</f>
        <v>547800</v>
      </c>
      <c r="I91" s="17"/>
    </row>
    <row r="92" spans="1:9" x14ac:dyDescent="0.2">
      <c r="A92" s="50">
        <v>4</v>
      </c>
      <c r="B92" s="50" t="s">
        <v>267</v>
      </c>
      <c r="C92" s="14"/>
      <c r="D92" s="16" t="s">
        <v>73</v>
      </c>
      <c r="E92" s="16" t="s">
        <v>270</v>
      </c>
      <c r="F92" s="374"/>
      <c r="G92" s="155"/>
      <c r="H92" s="155"/>
      <c r="I92" s="17"/>
    </row>
    <row r="93" spans="1:9" x14ac:dyDescent="0.2">
      <c r="A93" s="50">
        <v>5</v>
      </c>
      <c r="B93" s="50" t="s">
        <v>268</v>
      </c>
      <c r="C93" s="14"/>
      <c r="D93" s="16" t="s">
        <v>73</v>
      </c>
      <c r="E93" s="16" t="s">
        <v>270</v>
      </c>
      <c r="F93" s="156"/>
      <c r="G93" s="156"/>
      <c r="H93" s="156"/>
      <c r="I93" s="17"/>
    </row>
    <row r="94" spans="1:9" x14ac:dyDescent="0.2">
      <c r="A94" s="50">
        <v>2</v>
      </c>
      <c r="B94" s="50" t="s">
        <v>269</v>
      </c>
      <c r="C94" s="14"/>
      <c r="D94" s="16" t="s">
        <v>73</v>
      </c>
      <c r="E94" s="16" t="s">
        <v>270</v>
      </c>
      <c r="F94" s="157"/>
      <c r="G94" s="157"/>
      <c r="H94" s="157"/>
      <c r="I94" s="17"/>
    </row>
    <row r="95" spans="1:9" x14ac:dyDescent="0.2">
      <c r="A95" s="425" t="s">
        <v>74</v>
      </c>
      <c r="B95" s="425"/>
      <c r="C95" s="14" t="s">
        <v>75</v>
      </c>
      <c r="D95" s="16" t="s">
        <v>76</v>
      </c>
      <c r="E95" s="16"/>
      <c r="F95" s="151">
        <f>SUM(F96:F101)</f>
        <v>0</v>
      </c>
      <c r="G95" s="151">
        <f>SUM(G96:G101)</f>
        <v>0</v>
      </c>
      <c r="H95" s="151">
        <f>SUM(H96:H101)</f>
        <v>0</v>
      </c>
      <c r="I95" s="17" t="s">
        <v>35</v>
      </c>
    </row>
    <row r="96" spans="1:9" x14ac:dyDescent="0.2">
      <c r="A96" s="50">
        <v>4</v>
      </c>
      <c r="B96" s="50" t="s">
        <v>267</v>
      </c>
      <c r="C96" s="14"/>
      <c r="D96" s="16" t="s">
        <v>76</v>
      </c>
      <c r="E96" s="16" t="s">
        <v>266</v>
      </c>
      <c r="F96" s="374"/>
      <c r="G96" s="155"/>
      <c r="H96" s="155"/>
      <c r="I96" s="17"/>
    </row>
    <row r="97" spans="1:9" x14ac:dyDescent="0.2">
      <c r="A97" s="50">
        <v>5</v>
      </c>
      <c r="B97" s="50" t="s">
        <v>268</v>
      </c>
      <c r="C97" s="14"/>
      <c r="D97" s="16" t="s">
        <v>76</v>
      </c>
      <c r="E97" s="16" t="s">
        <v>541</v>
      </c>
      <c r="F97" s="156"/>
      <c r="G97" s="156"/>
      <c r="H97" s="156"/>
      <c r="I97" s="17"/>
    </row>
    <row r="98" spans="1:9" x14ac:dyDescent="0.2">
      <c r="A98" s="50">
        <v>2</v>
      </c>
      <c r="B98" s="50" t="s">
        <v>269</v>
      </c>
      <c r="C98" s="14"/>
      <c r="D98" s="16" t="s">
        <v>76</v>
      </c>
      <c r="E98" s="16" t="s">
        <v>266</v>
      </c>
      <c r="F98" s="157"/>
      <c r="G98" s="157"/>
      <c r="H98" s="157"/>
      <c r="I98" s="17"/>
    </row>
    <row r="99" spans="1:9" x14ac:dyDescent="0.2">
      <c r="A99" s="50">
        <v>4</v>
      </c>
      <c r="B99" s="50" t="s">
        <v>267</v>
      </c>
      <c r="C99" s="14"/>
      <c r="D99" s="16" t="s">
        <v>76</v>
      </c>
      <c r="E99" s="16" t="s">
        <v>270</v>
      </c>
      <c r="F99" s="155"/>
      <c r="G99" s="155"/>
      <c r="H99" s="155"/>
      <c r="I99" s="17"/>
    </row>
    <row r="100" spans="1:9" x14ac:dyDescent="0.2">
      <c r="A100" s="50">
        <v>5</v>
      </c>
      <c r="B100" s="50" t="s">
        <v>268</v>
      </c>
      <c r="C100" s="14"/>
      <c r="D100" s="16" t="s">
        <v>76</v>
      </c>
      <c r="E100" s="16" t="s">
        <v>265</v>
      </c>
      <c r="F100" s="156"/>
      <c r="G100" s="156"/>
      <c r="H100" s="156"/>
      <c r="I100" s="17"/>
    </row>
    <row r="101" spans="1:9" x14ac:dyDescent="0.2">
      <c r="A101" s="50">
        <v>2</v>
      </c>
      <c r="B101" s="50" t="s">
        <v>269</v>
      </c>
      <c r="C101" s="14"/>
      <c r="D101" s="16" t="s">
        <v>76</v>
      </c>
      <c r="E101" s="16" t="s">
        <v>270</v>
      </c>
      <c r="F101" s="157"/>
      <c r="G101" s="157"/>
      <c r="H101" s="157"/>
      <c r="I101" s="17"/>
    </row>
    <row r="102" spans="1:9" x14ac:dyDescent="0.2">
      <c r="A102" s="425" t="s">
        <v>77</v>
      </c>
      <c r="B102" s="425"/>
      <c r="C102" s="14" t="s">
        <v>78</v>
      </c>
      <c r="D102" s="16" t="s">
        <v>79</v>
      </c>
      <c r="E102" s="16"/>
      <c r="F102" s="151"/>
      <c r="G102" s="151"/>
      <c r="H102" s="151"/>
      <c r="I102" s="17" t="s">
        <v>35</v>
      </c>
    </row>
    <row r="103" spans="1:9" x14ac:dyDescent="0.2">
      <c r="A103" s="425" t="s">
        <v>80</v>
      </c>
      <c r="B103" s="425"/>
      <c r="C103" s="14" t="s">
        <v>81</v>
      </c>
      <c r="D103" s="16" t="s">
        <v>82</v>
      </c>
      <c r="E103" s="16"/>
      <c r="F103" s="151">
        <f>SUM(F104:F106)</f>
        <v>9141879.5500000007</v>
      </c>
      <c r="G103" s="151">
        <f>SUM(G104:G106)</f>
        <v>9141800</v>
      </c>
      <c r="H103" s="151">
        <f>SUM(H104:H106)</f>
        <v>9141800</v>
      </c>
      <c r="I103" s="17" t="s">
        <v>35</v>
      </c>
    </row>
    <row r="104" spans="1:9" x14ac:dyDescent="0.2">
      <c r="A104" s="50">
        <v>4</v>
      </c>
      <c r="B104" s="50" t="s">
        <v>267</v>
      </c>
      <c r="C104" s="14"/>
      <c r="D104" s="16" t="s">
        <v>82</v>
      </c>
      <c r="E104" s="16" t="s">
        <v>271</v>
      </c>
      <c r="F104" s="374">
        <f>7385600+846277.73+744601.82</f>
        <v>8976479.5500000007</v>
      </c>
      <c r="G104" s="155">
        <v>8976400</v>
      </c>
      <c r="H104" s="155">
        <v>8976400</v>
      </c>
      <c r="I104" s="17"/>
    </row>
    <row r="105" spans="1:9" x14ac:dyDescent="0.2">
      <c r="A105" s="50">
        <v>5</v>
      </c>
      <c r="B105" s="50" t="s">
        <v>268</v>
      </c>
      <c r="C105" s="14"/>
      <c r="D105" s="16" t="s">
        <v>82</v>
      </c>
      <c r="E105" s="16" t="s">
        <v>271</v>
      </c>
      <c r="F105" s="156"/>
      <c r="G105" s="156"/>
      <c r="H105" s="156"/>
      <c r="I105" s="17"/>
    </row>
    <row r="106" spans="1:9" x14ac:dyDescent="0.2">
      <c r="A106" s="50">
        <v>2</v>
      </c>
      <c r="B106" s="50" t="s">
        <v>269</v>
      </c>
      <c r="C106" s="14"/>
      <c r="D106" s="16" t="s">
        <v>82</v>
      </c>
      <c r="E106" s="16" t="s">
        <v>271</v>
      </c>
      <c r="F106" s="157">
        <f>165400</f>
        <v>165400</v>
      </c>
      <c r="G106" s="157">
        <f>165400</f>
        <v>165400</v>
      </c>
      <c r="H106" s="157">
        <f>165400</f>
        <v>165400</v>
      </c>
      <c r="I106" s="17"/>
    </row>
    <row r="107" spans="1:9" x14ac:dyDescent="0.2">
      <c r="A107" s="432" t="s">
        <v>83</v>
      </c>
      <c r="B107" s="432"/>
      <c r="C107" s="14" t="s">
        <v>84</v>
      </c>
      <c r="D107" s="16" t="s">
        <v>82</v>
      </c>
      <c r="E107" s="16"/>
      <c r="F107" s="151"/>
      <c r="G107" s="151"/>
      <c r="H107" s="151"/>
      <c r="I107" s="17" t="s">
        <v>35</v>
      </c>
    </row>
    <row r="108" spans="1:9" ht="10.8" thickBot="1" x14ac:dyDescent="0.25">
      <c r="A108" s="432" t="s">
        <v>85</v>
      </c>
      <c r="B108" s="432"/>
      <c r="C108" s="15" t="s">
        <v>86</v>
      </c>
      <c r="D108" s="22" t="s">
        <v>82</v>
      </c>
      <c r="E108" s="22"/>
      <c r="F108" s="153"/>
      <c r="G108" s="153"/>
      <c r="H108" s="153"/>
      <c r="I108" s="23" t="s">
        <v>35</v>
      </c>
    </row>
    <row r="109" spans="1:9" x14ac:dyDescent="0.2">
      <c r="A109" s="425" t="s">
        <v>87</v>
      </c>
      <c r="B109" s="425"/>
      <c r="C109" s="11" t="s">
        <v>88</v>
      </c>
      <c r="D109" s="16" t="s">
        <v>89</v>
      </c>
      <c r="E109" s="16"/>
      <c r="F109" s="151"/>
      <c r="G109" s="151"/>
      <c r="H109" s="151"/>
      <c r="I109" s="17" t="s">
        <v>35</v>
      </c>
    </row>
    <row r="110" spans="1:9" x14ac:dyDescent="0.2">
      <c r="A110" s="425" t="s">
        <v>510</v>
      </c>
      <c r="B110" s="425"/>
      <c r="C110" s="364" t="s">
        <v>91</v>
      </c>
      <c r="D110" s="16" t="s">
        <v>511</v>
      </c>
      <c r="E110" s="16"/>
      <c r="F110" s="151"/>
      <c r="G110" s="151"/>
      <c r="H110" s="151"/>
      <c r="I110" s="17" t="s">
        <v>35</v>
      </c>
    </row>
    <row r="111" spans="1:9" x14ac:dyDescent="0.2">
      <c r="A111" s="425" t="s">
        <v>90</v>
      </c>
      <c r="B111" s="425"/>
      <c r="C111" s="364" t="s">
        <v>94</v>
      </c>
      <c r="D111" s="16" t="s">
        <v>92</v>
      </c>
      <c r="E111" s="16"/>
      <c r="F111" s="151"/>
      <c r="G111" s="151"/>
      <c r="H111" s="151"/>
      <c r="I111" s="17" t="s">
        <v>35</v>
      </c>
    </row>
    <row r="112" spans="1:9" x14ac:dyDescent="0.2">
      <c r="A112" s="432" t="s">
        <v>93</v>
      </c>
      <c r="B112" s="432"/>
      <c r="C112" s="364" t="s">
        <v>512</v>
      </c>
      <c r="D112" s="16" t="s">
        <v>95</v>
      </c>
      <c r="E112" s="16"/>
      <c r="F112" s="151"/>
      <c r="G112" s="151"/>
      <c r="H112" s="151"/>
      <c r="I112" s="17" t="s">
        <v>35</v>
      </c>
    </row>
    <row r="113" spans="1:9" x14ac:dyDescent="0.2">
      <c r="A113" s="432" t="s">
        <v>514</v>
      </c>
      <c r="B113" s="432"/>
      <c r="C113" s="364" t="s">
        <v>513</v>
      </c>
      <c r="D113" s="16" t="s">
        <v>95</v>
      </c>
      <c r="E113" s="16"/>
      <c r="F113" s="151"/>
      <c r="G113" s="151"/>
      <c r="H113" s="151"/>
      <c r="I113" s="17" t="s">
        <v>35</v>
      </c>
    </row>
    <row r="114" spans="1:9" x14ac:dyDescent="0.2">
      <c r="A114" s="426" t="s">
        <v>96</v>
      </c>
      <c r="B114" s="426"/>
      <c r="C114" s="14" t="s">
        <v>97</v>
      </c>
      <c r="D114" s="16" t="s">
        <v>98</v>
      </c>
      <c r="E114" s="16"/>
      <c r="F114" s="151">
        <f>F115+F116+F119+F120+F121</f>
        <v>187500</v>
      </c>
      <c r="G114" s="151">
        <f>G115+G116+G119+G120+G121</f>
        <v>157000</v>
      </c>
      <c r="H114" s="151">
        <f>H115+H116+H119+H120+H121</f>
        <v>142000</v>
      </c>
      <c r="I114" s="17" t="s">
        <v>35</v>
      </c>
    </row>
    <row r="115" spans="1:9" x14ac:dyDescent="0.2">
      <c r="A115" s="425" t="s">
        <v>99</v>
      </c>
      <c r="B115" s="425"/>
      <c r="C115" s="14" t="s">
        <v>100</v>
      </c>
      <c r="D115" s="16" t="s">
        <v>101</v>
      </c>
      <c r="E115" s="16"/>
      <c r="F115" s="151"/>
      <c r="G115" s="151"/>
      <c r="H115" s="151"/>
      <c r="I115" s="17" t="s">
        <v>35</v>
      </c>
    </row>
    <row r="116" spans="1:9" x14ac:dyDescent="0.2">
      <c r="A116" s="432" t="s">
        <v>102</v>
      </c>
      <c r="B116" s="432"/>
      <c r="C116" s="14" t="s">
        <v>103</v>
      </c>
      <c r="D116" s="16" t="s">
        <v>104</v>
      </c>
      <c r="E116" s="16"/>
      <c r="F116" s="195">
        <f>SUM(F117:F118)</f>
        <v>187500</v>
      </c>
      <c r="G116" s="195">
        <f>SUM(G117:G118)</f>
        <v>157000</v>
      </c>
      <c r="H116" s="195">
        <f>SUM(H117:H118)</f>
        <v>142000</v>
      </c>
      <c r="I116" s="17" t="s">
        <v>35</v>
      </c>
    </row>
    <row r="117" spans="1:9" x14ac:dyDescent="0.2">
      <c r="A117" s="50">
        <v>5</v>
      </c>
      <c r="B117" s="50" t="s">
        <v>268</v>
      </c>
      <c r="C117" s="14"/>
      <c r="D117" s="16" t="s">
        <v>104</v>
      </c>
      <c r="E117" s="16" t="s">
        <v>270</v>
      </c>
      <c r="F117" s="156">
        <f>187500</f>
        <v>187500</v>
      </c>
      <c r="G117" s="156">
        <v>157000</v>
      </c>
      <c r="H117" s="156">
        <v>142000</v>
      </c>
      <c r="I117" s="17"/>
    </row>
    <row r="118" spans="1:9" x14ac:dyDescent="0.2">
      <c r="A118" s="50">
        <v>5</v>
      </c>
      <c r="B118" s="50" t="s">
        <v>268</v>
      </c>
      <c r="C118" s="14"/>
      <c r="D118" s="16" t="s">
        <v>110</v>
      </c>
      <c r="E118" s="16" t="s">
        <v>498</v>
      </c>
      <c r="F118" s="156"/>
      <c r="G118" s="156"/>
      <c r="H118" s="156"/>
      <c r="I118" s="17"/>
    </row>
    <row r="119" spans="1:9" x14ac:dyDescent="0.2">
      <c r="A119" s="425" t="s">
        <v>105</v>
      </c>
      <c r="B119" s="431"/>
      <c r="C119" s="14" t="s">
        <v>106</v>
      </c>
      <c r="D119" s="16" t="s">
        <v>107</v>
      </c>
      <c r="E119" s="16"/>
      <c r="F119" s="151"/>
      <c r="G119" s="151"/>
      <c r="H119" s="151"/>
      <c r="I119" s="17" t="s">
        <v>35</v>
      </c>
    </row>
    <row r="120" spans="1:9" x14ac:dyDescent="0.2">
      <c r="A120" s="425" t="s">
        <v>108</v>
      </c>
      <c r="B120" s="431"/>
      <c r="C120" s="14" t="s">
        <v>109</v>
      </c>
      <c r="D120" s="16" t="s">
        <v>110</v>
      </c>
      <c r="E120" s="16" t="s">
        <v>498</v>
      </c>
      <c r="F120" s="151"/>
      <c r="G120" s="151"/>
      <c r="H120" s="151"/>
      <c r="I120" s="17" t="s">
        <v>35</v>
      </c>
    </row>
    <row r="121" spans="1:9" x14ac:dyDescent="0.2">
      <c r="A121" s="425" t="s">
        <v>515</v>
      </c>
      <c r="B121" s="431"/>
      <c r="C121" s="364" t="s">
        <v>111</v>
      </c>
      <c r="D121" s="16" t="s">
        <v>112</v>
      </c>
      <c r="E121" s="16"/>
      <c r="F121" s="151"/>
      <c r="G121" s="151"/>
      <c r="H121" s="151"/>
      <c r="I121" s="17" t="s">
        <v>35</v>
      </c>
    </row>
    <row r="122" spans="1:9" x14ac:dyDescent="0.2">
      <c r="A122" s="426" t="s">
        <v>113</v>
      </c>
      <c r="B122" s="426"/>
      <c r="C122" s="14" t="s">
        <v>114</v>
      </c>
      <c r="D122" s="16" t="s">
        <v>115</v>
      </c>
      <c r="E122" s="16"/>
      <c r="F122" s="151">
        <f>F123+F127+F129</f>
        <v>1725200</v>
      </c>
      <c r="G122" s="151">
        <f>G123+G127+G129</f>
        <v>1712200</v>
      </c>
      <c r="H122" s="151">
        <f>H123+H127+H129</f>
        <v>1710200</v>
      </c>
      <c r="I122" s="17" t="s">
        <v>35</v>
      </c>
    </row>
    <row r="123" spans="1:9" x14ac:dyDescent="0.2">
      <c r="A123" s="425" t="s">
        <v>116</v>
      </c>
      <c r="B123" s="425"/>
      <c r="C123" s="14" t="s">
        <v>117</v>
      </c>
      <c r="D123" s="16" t="s">
        <v>118</v>
      </c>
      <c r="E123" s="16"/>
      <c r="F123" s="151">
        <f>SUM(F124:F126)</f>
        <v>1725200</v>
      </c>
      <c r="G123" s="151">
        <f>SUM(G124:G126)</f>
        <v>1712200</v>
      </c>
      <c r="H123" s="151">
        <f>SUM(H124:H126)</f>
        <v>1710200</v>
      </c>
      <c r="I123" s="17" t="s">
        <v>35</v>
      </c>
    </row>
    <row r="124" spans="1:9" x14ac:dyDescent="0.2">
      <c r="A124" s="50">
        <v>4</v>
      </c>
      <c r="B124" s="50" t="s">
        <v>267</v>
      </c>
      <c r="C124" s="14"/>
      <c r="D124" s="16" t="s">
        <v>118</v>
      </c>
      <c r="E124" s="16" t="s">
        <v>272</v>
      </c>
      <c r="F124" s="155">
        <f>1719800</f>
        <v>1719800</v>
      </c>
      <c r="G124" s="155">
        <v>1706800</v>
      </c>
      <c r="H124" s="155">
        <v>1704800</v>
      </c>
      <c r="I124" s="17"/>
    </row>
    <row r="125" spans="1:9" x14ac:dyDescent="0.2">
      <c r="A125" s="50">
        <v>5</v>
      </c>
      <c r="B125" s="50" t="s">
        <v>268</v>
      </c>
      <c r="C125" s="14"/>
      <c r="D125" s="16" t="s">
        <v>118</v>
      </c>
      <c r="E125" s="16" t="s">
        <v>272</v>
      </c>
      <c r="F125" s="156"/>
      <c r="G125" s="156"/>
      <c r="H125" s="156"/>
      <c r="I125" s="17"/>
    </row>
    <row r="126" spans="1:9" x14ac:dyDescent="0.2">
      <c r="A126" s="50">
        <v>2</v>
      </c>
      <c r="B126" s="50" t="s">
        <v>269</v>
      </c>
      <c r="C126" s="14"/>
      <c r="D126" s="16" t="s">
        <v>118</v>
      </c>
      <c r="E126" s="16" t="s">
        <v>272</v>
      </c>
      <c r="F126" s="157">
        <f>5400</f>
        <v>5400</v>
      </c>
      <c r="G126" s="157">
        <f>5400</f>
        <v>5400</v>
      </c>
      <c r="H126" s="157">
        <f>5400</f>
        <v>5400</v>
      </c>
      <c r="I126" s="17"/>
    </row>
    <row r="127" spans="1:9" ht="33" customHeight="1" x14ac:dyDescent="0.2">
      <c r="A127" s="425" t="s">
        <v>119</v>
      </c>
      <c r="B127" s="425"/>
      <c r="C127" s="14" t="s">
        <v>120</v>
      </c>
      <c r="D127" s="16" t="s">
        <v>121</v>
      </c>
      <c r="E127" s="16" t="s">
        <v>272</v>
      </c>
      <c r="F127" s="155"/>
      <c r="G127" s="151"/>
      <c r="H127" s="151"/>
      <c r="I127" s="17" t="s">
        <v>35</v>
      </c>
    </row>
    <row r="128" spans="1:9" x14ac:dyDescent="0.2">
      <c r="A128" s="50">
        <v>4</v>
      </c>
      <c r="B128" s="50" t="s">
        <v>267</v>
      </c>
      <c r="C128" s="14"/>
      <c r="D128" s="16" t="s">
        <v>121</v>
      </c>
      <c r="E128" s="16" t="s">
        <v>272</v>
      </c>
      <c r="F128" s="155"/>
      <c r="G128" s="155"/>
      <c r="H128" s="155"/>
      <c r="I128" s="17"/>
    </row>
    <row r="129" spans="1:9" ht="21.75" customHeight="1" x14ac:dyDescent="0.2">
      <c r="A129" s="425" t="s">
        <v>122</v>
      </c>
      <c r="B129" s="425"/>
      <c r="C129" s="14" t="s">
        <v>123</v>
      </c>
      <c r="D129" s="16" t="s">
        <v>124</v>
      </c>
      <c r="E129" s="16"/>
      <c r="F129" s="151">
        <f>SUM(F130:F132)</f>
        <v>0</v>
      </c>
      <c r="G129" s="151">
        <f>SUM(G130:G130)</f>
        <v>0</v>
      </c>
      <c r="H129" s="151">
        <f>SUM(H130:H130)</f>
        <v>0</v>
      </c>
      <c r="I129" s="17" t="s">
        <v>35</v>
      </c>
    </row>
    <row r="130" spans="1:9" x14ac:dyDescent="0.2">
      <c r="A130" s="50">
        <v>4</v>
      </c>
      <c r="B130" s="50" t="s">
        <v>267</v>
      </c>
      <c r="C130" s="14"/>
      <c r="D130" s="16" t="s">
        <v>124</v>
      </c>
      <c r="E130" s="16" t="s">
        <v>273</v>
      </c>
      <c r="F130" s="155"/>
      <c r="G130" s="155"/>
      <c r="H130" s="155"/>
      <c r="I130" s="17"/>
    </row>
    <row r="131" spans="1:9" x14ac:dyDescent="0.2">
      <c r="A131" s="50">
        <v>2</v>
      </c>
      <c r="B131" s="50" t="s">
        <v>269</v>
      </c>
      <c r="C131" s="14"/>
      <c r="D131" s="16" t="s">
        <v>124</v>
      </c>
      <c r="E131" s="16" t="s">
        <v>273</v>
      </c>
      <c r="F131" s="157"/>
      <c r="G131" s="157"/>
      <c r="H131" s="157"/>
      <c r="I131" s="17"/>
    </row>
    <row r="132" spans="1:9" x14ac:dyDescent="0.2">
      <c r="A132" s="426" t="s">
        <v>125</v>
      </c>
      <c r="B132" s="426"/>
      <c r="C132" s="364" t="s">
        <v>126</v>
      </c>
      <c r="D132" s="16" t="s">
        <v>35</v>
      </c>
      <c r="E132" s="16"/>
      <c r="F132" s="151"/>
      <c r="G132" s="151"/>
      <c r="H132" s="151"/>
      <c r="I132" s="17" t="s">
        <v>35</v>
      </c>
    </row>
    <row r="133" spans="1:9" x14ac:dyDescent="0.2">
      <c r="A133" s="425" t="s">
        <v>517</v>
      </c>
      <c r="B133" s="425"/>
      <c r="C133" s="364" t="s">
        <v>127</v>
      </c>
      <c r="D133" s="16" t="s">
        <v>516</v>
      </c>
      <c r="E133" s="16"/>
      <c r="F133" s="151"/>
      <c r="G133" s="151"/>
      <c r="H133" s="151"/>
      <c r="I133" s="17" t="s">
        <v>35</v>
      </c>
    </row>
    <row r="134" spans="1:9" x14ac:dyDescent="0.2">
      <c r="A134" s="425" t="s">
        <v>519</v>
      </c>
      <c r="B134" s="425"/>
      <c r="C134" s="364" t="s">
        <v>130</v>
      </c>
      <c r="D134" s="16" t="s">
        <v>518</v>
      </c>
      <c r="E134" s="16"/>
      <c r="F134" s="151"/>
      <c r="G134" s="151"/>
      <c r="H134" s="151"/>
      <c r="I134" s="17" t="s">
        <v>35</v>
      </c>
    </row>
    <row r="135" spans="1:9" x14ac:dyDescent="0.2">
      <c r="A135" s="425" t="s">
        <v>521</v>
      </c>
      <c r="B135" s="425"/>
      <c r="C135" s="364" t="s">
        <v>133</v>
      </c>
      <c r="D135" s="16" t="s">
        <v>520</v>
      </c>
      <c r="E135" s="16"/>
      <c r="F135" s="151"/>
      <c r="G135" s="151"/>
      <c r="H135" s="151"/>
      <c r="I135" s="17" t="s">
        <v>35</v>
      </c>
    </row>
    <row r="136" spans="1:9" ht="13.2" x14ac:dyDescent="0.25">
      <c r="A136" s="425" t="s">
        <v>525</v>
      </c>
      <c r="B136" s="430"/>
      <c r="C136" s="364" t="s">
        <v>522</v>
      </c>
      <c r="D136" s="16" t="s">
        <v>128</v>
      </c>
      <c r="E136" s="16"/>
      <c r="F136" s="151"/>
      <c r="G136" s="151"/>
      <c r="H136" s="151"/>
      <c r="I136" s="17"/>
    </row>
    <row r="137" spans="1:9" ht="13.2" x14ac:dyDescent="0.25">
      <c r="A137" s="425" t="s">
        <v>129</v>
      </c>
      <c r="B137" s="430"/>
      <c r="C137" s="364" t="s">
        <v>523</v>
      </c>
      <c r="D137" s="16" t="s">
        <v>131</v>
      </c>
      <c r="E137" s="16"/>
      <c r="F137" s="151"/>
      <c r="G137" s="151"/>
      <c r="H137" s="151"/>
      <c r="I137" s="17"/>
    </row>
    <row r="138" spans="1:9" ht="13.2" x14ac:dyDescent="0.25">
      <c r="A138" s="425" t="s">
        <v>132</v>
      </c>
      <c r="B138" s="430"/>
      <c r="C138" s="364" t="s">
        <v>524</v>
      </c>
      <c r="D138" s="16" t="s">
        <v>134</v>
      </c>
      <c r="E138" s="16"/>
      <c r="F138" s="151"/>
      <c r="G138" s="151"/>
      <c r="H138" s="151"/>
      <c r="I138" s="17"/>
    </row>
    <row r="139" spans="1:9" x14ac:dyDescent="0.2">
      <c r="A139" s="426" t="s">
        <v>135</v>
      </c>
      <c r="B139" s="426"/>
      <c r="C139" s="14" t="s">
        <v>136</v>
      </c>
      <c r="D139" s="16" t="s">
        <v>35</v>
      </c>
      <c r="E139" s="16"/>
      <c r="F139" s="151"/>
      <c r="G139" s="151"/>
      <c r="H139" s="151"/>
      <c r="I139" s="17" t="s">
        <v>35</v>
      </c>
    </row>
    <row r="140" spans="1:9" x14ac:dyDescent="0.2">
      <c r="A140" s="425" t="s">
        <v>137</v>
      </c>
      <c r="B140" s="425"/>
      <c r="C140" s="14" t="s">
        <v>138</v>
      </c>
      <c r="D140" s="16" t="s">
        <v>139</v>
      </c>
      <c r="E140" s="16"/>
      <c r="F140" s="151"/>
      <c r="G140" s="151"/>
      <c r="H140" s="151"/>
      <c r="I140" s="17" t="s">
        <v>35</v>
      </c>
    </row>
    <row r="141" spans="1:9" x14ac:dyDescent="0.2">
      <c r="A141" s="426" t="s">
        <v>140</v>
      </c>
      <c r="B141" s="426"/>
      <c r="C141" s="14" t="s">
        <v>141</v>
      </c>
      <c r="D141" s="16" t="s">
        <v>35</v>
      </c>
      <c r="E141" s="162" t="s">
        <v>35</v>
      </c>
      <c r="F141" s="151">
        <f>SUM(F142:F144)</f>
        <v>9048827.2799999993</v>
      </c>
      <c r="G141" s="151">
        <f>SUM(G142:G144)</f>
        <v>6386500</v>
      </c>
      <c r="H141" s="151">
        <f>SUM(H142:H144)</f>
        <v>6287700</v>
      </c>
      <c r="I141" s="17"/>
    </row>
    <row r="142" spans="1:9" x14ac:dyDescent="0.2">
      <c r="A142" s="50"/>
      <c r="B142" s="50" t="s">
        <v>267</v>
      </c>
      <c r="C142" s="52"/>
      <c r="D142" s="16" t="s">
        <v>35</v>
      </c>
      <c r="E142" s="19" t="s">
        <v>35</v>
      </c>
      <c r="F142" s="161">
        <f>F150+F153+F156+F159+F161+F165+F170+F173+F176+F179+F185+F188+F166+F193</f>
        <v>6419498.6899999995</v>
      </c>
      <c r="G142" s="161">
        <f>G150+G153+G156+G159+G161+G165+G170+G173+G176+G179+G185+G188+G166+G193</f>
        <v>6154100</v>
      </c>
      <c r="H142" s="161">
        <f>H150+H153+H156+H159+H161+H165+H170+H173+H176+H179+H185+H188+H166+H193</f>
        <v>6055300</v>
      </c>
      <c r="I142" s="55"/>
    </row>
    <row r="143" spans="1:9" x14ac:dyDescent="0.2">
      <c r="A143" s="50"/>
      <c r="B143" s="50" t="s">
        <v>268</v>
      </c>
      <c r="C143" s="52"/>
      <c r="D143" s="16" t="s">
        <v>35</v>
      </c>
      <c r="E143" s="19" t="s">
        <v>35</v>
      </c>
      <c r="F143" s="156">
        <f>F151+F154+F157+F160+F162+F163+F167+F171+F174+F177+F180+F183+F186+F189+F147</f>
        <v>1315789.47</v>
      </c>
      <c r="G143" s="156">
        <f>G151+G154+G157+G160+G162+G163+G167+G171+G174+G177+G180+G183+G186+G189+G147</f>
        <v>0</v>
      </c>
      <c r="H143" s="156">
        <f>H151+H154+H157+H160+H162+H163+H167+H171+H174+H177+H180+H183+H186+H189+H147</f>
        <v>0</v>
      </c>
      <c r="I143" s="55"/>
    </row>
    <row r="144" spans="1:9" x14ac:dyDescent="0.2">
      <c r="A144" s="50"/>
      <c r="B144" s="50" t="s">
        <v>269</v>
      </c>
      <c r="C144" s="52"/>
      <c r="D144" s="16" t="s">
        <v>35</v>
      </c>
      <c r="E144" s="19" t="s">
        <v>35</v>
      </c>
      <c r="F144" s="160">
        <f>F152+F155+F158+F164+F168+F172+F175+F178+F181+F184+F187+F190+F169+F194</f>
        <v>1313539.1200000001</v>
      </c>
      <c r="G144" s="160">
        <f>G152+G155+G158+G164+G168+G172+G175+G178+G181+G184+G187+G190+G194</f>
        <v>232400</v>
      </c>
      <c r="H144" s="160">
        <f>H152+H155+H158+H164+H168+H172+H175+H178+H181+H184+H187+H190+H194</f>
        <v>232400</v>
      </c>
      <c r="I144" s="55"/>
    </row>
    <row r="145" spans="1:9" x14ac:dyDescent="0.2">
      <c r="A145" s="425" t="s">
        <v>142</v>
      </c>
      <c r="B145" s="425"/>
      <c r="C145" s="14"/>
      <c r="D145" s="16"/>
      <c r="E145" s="16"/>
      <c r="F145" s="151"/>
      <c r="G145" s="151"/>
      <c r="H145" s="151"/>
      <c r="I145" s="17"/>
    </row>
    <row r="146" spans="1:9" ht="24.75" customHeight="1" thickBot="1" x14ac:dyDescent="0.25">
      <c r="A146" s="425" t="s">
        <v>570</v>
      </c>
      <c r="B146" s="425"/>
      <c r="C146" s="14" t="s">
        <v>143</v>
      </c>
      <c r="D146" s="16" t="s">
        <v>144</v>
      </c>
      <c r="E146" s="19"/>
      <c r="F146" s="147"/>
      <c r="G146" s="147"/>
      <c r="H146" s="147"/>
      <c r="I146" s="18"/>
    </row>
    <row r="147" spans="1:9" ht="22.5" customHeight="1" x14ac:dyDescent="0.2">
      <c r="A147" s="425" t="s">
        <v>145</v>
      </c>
      <c r="B147" s="425"/>
      <c r="C147" s="370" t="s">
        <v>146</v>
      </c>
      <c r="D147" s="371" t="s">
        <v>147</v>
      </c>
      <c r="E147" s="371" t="s">
        <v>277</v>
      </c>
      <c r="F147" s="156"/>
      <c r="G147" s="372"/>
      <c r="H147" s="372"/>
      <c r="I147" s="13"/>
    </row>
    <row r="148" spans="1:9" ht="14.25" customHeight="1" x14ac:dyDescent="0.2">
      <c r="A148" s="425" t="s">
        <v>571</v>
      </c>
      <c r="B148" s="425"/>
      <c r="C148" s="14" t="s">
        <v>148</v>
      </c>
      <c r="D148" s="20" t="s">
        <v>149</v>
      </c>
      <c r="E148" s="20"/>
      <c r="F148" s="152">
        <f>SUM(F150:F190)</f>
        <v>5479368.5899999999</v>
      </c>
      <c r="G148" s="152">
        <f>SUM(G150:G190)</f>
        <v>3118900</v>
      </c>
      <c r="H148" s="152">
        <f>SUM(H150:H190)</f>
        <v>2926100</v>
      </c>
      <c r="I148" s="21"/>
    </row>
    <row r="149" spans="1:9" x14ac:dyDescent="0.2">
      <c r="A149" s="429"/>
      <c r="B149" s="429"/>
      <c r="C149" s="52"/>
      <c r="D149" s="53"/>
      <c r="E149" s="54"/>
      <c r="F149" s="154"/>
      <c r="G149" s="154"/>
      <c r="H149" s="154"/>
      <c r="I149" s="55"/>
    </row>
    <row r="150" spans="1:9" x14ac:dyDescent="0.2">
      <c r="A150" s="50">
        <v>4</v>
      </c>
      <c r="B150" s="50" t="s">
        <v>267</v>
      </c>
      <c r="C150" s="52"/>
      <c r="D150" s="20" t="s">
        <v>149</v>
      </c>
      <c r="E150" s="19" t="s">
        <v>274</v>
      </c>
      <c r="F150" s="360">
        <f>64000</f>
        <v>64000</v>
      </c>
      <c r="G150" s="161">
        <v>64000</v>
      </c>
      <c r="H150" s="161">
        <v>64000</v>
      </c>
      <c r="I150" s="55"/>
    </row>
    <row r="151" spans="1:9" x14ac:dyDescent="0.2">
      <c r="A151" s="50">
        <v>5</v>
      </c>
      <c r="B151" s="50" t="s">
        <v>268</v>
      </c>
      <c r="C151" s="52"/>
      <c r="D151" s="20" t="s">
        <v>149</v>
      </c>
      <c r="E151" s="19" t="s">
        <v>274</v>
      </c>
      <c r="F151" s="156"/>
      <c r="G151" s="156"/>
      <c r="H151" s="156"/>
      <c r="I151" s="55"/>
    </row>
    <row r="152" spans="1:9" x14ac:dyDescent="0.2">
      <c r="A152" s="50">
        <v>2</v>
      </c>
      <c r="B152" s="50" t="s">
        <v>269</v>
      </c>
      <c r="C152" s="52"/>
      <c r="D152" s="20" t="s">
        <v>149</v>
      </c>
      <c r="E152" s="19" t="s">
        <v>274</v>
      </c>
      <c r="F152" s="160"/>
      <c r="G152" s="160"/>
      <c r="H152" s="160"/>
      <c r="I152" s="55"/>
    </row>
    <row r="153" spans="1:9" x14ac:dyDescent="0.2">
      <c r="A153" s="50">
        <v>4</v>
      </c>
      <c r="B153" s="50" t="s">
        <v>267</v>
      </c>
      <c r="C153" s="52"/>
      <c r="D153" s="20" t="s">
        <v>149</v>
      </c>
      <c r="E153" s="19" t="s">
        <v>266</v>
      </c>
      <c r="F153" s="161"/>
      <c r="G153" s="161"/>
      <c r="H153" s="161"/>
      <c r="I153" s="55"/>
    </row>
    <row r="154" spans="1:9" x14ac:dyDescent="0.2">
      <c r="A154" s="50">
        <v>5</v>
      </c>
      <c r="B154" s="50" t="s">
        <v>268</v>
      </c>
      <c r="C154" s="52"/>
      <c r="D154" s="20" t="s">
        <v>149</v>
      </c>
      <c r="E154" s="19" t="s">
        <v>266</v>
      </c>
      <c r="F154" s="156"/>
      <c r="G154" s="156"/>
      <c r="H154" s="156"/>
      <c r="I154" s="55"/>
    </row>
    <row r="155" spans="1:9" x14ac:dyDescent="0.2">
      <c r="A155" s="50">
        <v>2</v>
      </c>
      <c r="B155" s="50" t="s">
        <v>269</v>
      </c>
      <c r="C155" s="52"/>
      <c r="D155" s="20" t="s">
        <v>149</v>
      </c>
      <c r="E155" s="19" t="s">
        <v>266</v>
      </c>
      <c r="F155" s="160"/>
      <c r="G155" s="160"/>
      <c r="H155" s="160"/>
      <c r="I155" s="55"/>
    </row>
    <row r="156" spans="1:9" x14ac:dyDescent="0.2">
      <c r="A156" s="50">
        <v>4</v>
      </c>
      <c r="B156" s="50" t="s">
        <v>267</v>
      </c>
      <c r="C156" s="52"/>
      <c r="D156" s="20" t="s">
        <v>149</v>
      </c>
      <c r="E156" s="19" t="s">
        <v>275</v>
      </c>
      <c r="F156" s="360">
        <f>200000</f>
        <v>200000</v>
      </c>
      <c r="G156" s="161">
        <v>202000</v>
      </c>
      <c r="H156" s="161">
        <v>206000</v>
      </c>
      <c r="I156" s="55"/>
    </row>
    <row r="157" spans="1:9" x14ac:dyDescent="0.2">
      <c r="A157" s="50">
        <v>5</v>
      </c>
      <c r="B157" s="50" t="s">
        <v>268</v>
      </c>
      <c r="C157" s="52"/>
      <c r="D157" s="20" t="s">
        <v>149</v>
      </c>
      <c r="E157" s="19" t="s">
        <v>275</v>
      </c>
      <c r="F157" s="156"/>
      <c r="G157" s="156"/>
      <c r="H157" s="156"/>
      <c r="I157" s="55"/>
    </row>
    <row r="158" spans="1:9" x14ac:dyDescent="0.2">
      <c r="A158" s="50">
        <v>2</v>
      </c>
      <c r="B158" s="50" t="s">
        <v>269</v>
      </c>
      <c r="C158" s="52"/>
      <c r="D158" s="20" t="s">
        <v>149</v>
      </c>
      <c r="E158" s="19" t="s">
        <v>275</v>
      </c>
      <c r="F158" s="160"/>
      <c r="G158" s="160"/>
      <c r="H158" s="160"/>
      <c r="I158" s="55"/>
    </row>
    <row r="159" spans="1:9" x14ac:dyDescent="0.2">
      <c r="A159" s="50">
        <v>4</v>
      </c>
      <c r="B159" s="50" t="s">
        <v>267</v>
      </c>
      <c r="C159" s="52"/>
      <c r="D159" s="20" t="s">
        <v>149</v>
      </c>
      <c r="E159" s="19" t="s">
        <v>276</v>
      </c>
      <c r="F159" s="360"/>
      <c r="G159" s="161"/>
      <c r="H159" s="161"/>
      <c r="I159" s="55"/>
    </row>
    <row r="160" spans="1:9" x14ac:dyDescent="0.2">
      <c r="A160" s="50">
        <v>5</v>
      </c>
      <c r="B160" s="50" t="s">
        <v>268</v>
      </c>
      <c r="C160" s="52"/>
      <c r="D160" s="20" t="s">
        <v>149</v>
      </c>
      <c r="E160" s="19" t="s">
        <v>276</v>
      </c>
      <c r="F160" s="156"/>
      <c r="G160" s="156"/>
      <c r="H160" s="156"/>
      <c r="I160" s="55"/>
    </row>
    <row r="161" spans="1:9" x14ac:dyDescent="0.2">
      <c r="A161" s="50">
        <v>4</v>
      </c>
      <c r="B161" s="50" t="s">
        <v>267</v>
      </c>
      <c r="C161" s="52"/>
      <c r="D161" s="20" t="s">
        <v>149</v>
      </c>
      <c r="E161" s="19" t="s">
        <v>277</v>
      </c>
      <c r="F161" s="360">
        <f>806700</f>
        <v>806700</v>
      </c>
      <c r="G161" s="161">
        <f>806700</f>
        <v>806700</v>
      </c>
      <c r="H161" s="161">
        <f>806700</f>
        <v>806700</v>
      </c>
      <c r="I161" s="55"/>
    </row>
    <row r="162" spans="1:9" x14ac:dyDescent="0.2">
      <c r="A162" s="50">
        <v>5</v>
      </c>
      <c r="B162" s="50" t="s">
        <v>268</v>
      </c>
      <c r="C162" s="52"/>
      <c r="D162" s="20" t="s">
        <v>149</v>
      </c>
      <c r="E162" s="19" t="s">
        <v>277</v>
      </c>
      <c r="F162" s="156">
        <f>1050000+65789.47</f>
        <v>1115789.47</v>
      </c>
      <c r="G162" s="156"/>
      <c r="H162" s="156"/>
      <c r="I162" s="55"/>
    </row>
    <row r="163" spans="1:9" x14ac:dyDescent="0.2">
      <c r="A163" s="50">
        <v>5</v>
      </c>
      <c r="B163" s="50" t="s">
        <v>268</v>
      </c>
      <c r="C163" s="52"/>
      <c r="D163" s="367" t="s">
        <v>147</v>
      </c>
      <c r="E163" s="19" t="s">
        <v>277</v>
      </c>
      <c r="F163" s="156">
        <f>600000-600000</f>
        <v>0</v>
      </c>
      <c r="G163" s="156"/>
      <c r="H163" s="156"/>
      <c r="I163" s="55"/>
    </row>
    <row r="164" spans="1:9" x14ac:dyDescent="0.2">
      <c r="A164" s="50">
        <v>2</v>
      </c>
      <c r="B164" s="50" t="s">
        <v>269</v>
      </c>
      <c r="C164" s="52"/>
      <c r="D164" s="20" t="s">
        <v>149</v>
      </c>
      <c r="E164" s="19" t="s">
        <v>277</v>
      </c>
      <c r="F164" s="160">
        <f>40000+100000</f>
        <v>140000</v>
      </c>
      <c r="G164" s="160">
        <f>40000</f>
        <v>40000</v>
      </c>
      <c r="H164" s="160">
        <f>40000</f>
        <v>40000</v>
      </c>
      <c r="I164" s="55"/>
    </row>
    <row r="165" spans="1:9" x14ac:dyDescent="0.2">
      <c r="A165" s="50">
        <v>4</v>
      </c>
      <c r="B165" s="50" t="s">
        <v>267</v>
      </c>
      <c r="C165" s="52"/>
      <c r="D165" s="20" t="s">
        <v>149</v>
      </c>
      <c r="E165" s="19" t="s">
        <v>265</v>
      </c>
      <c r="F165" s="360">
        <f>1701600</f>
        <v>1701600</v>
      </c>
      <c r="G165" s="161">
        <v>1836800</v>
      </c>
      <c r="H165" s="161">
        <v>1640000</v>
      </c>
      <c r="I165" s="55"/>
    </row>
    <row r="166" spans="1:9" x14ac:dyDescent="0.2">
      <c r="A166" s="50">
        <v>4</v>
      </c>
      <c r="B166" s="50" t="s">
        <v>267</v>
      </c>
      <c r="C166" s="52"/>
      <c r="D166" s="20" t="s">
        <v>147</v>
      </c>
      <c r="E166" s="19" t="s">
        <v>265</v>
      </c>
      <c r="F166" s="360"/>
      <c r="G166" s="161"/>
      <c r="H166" s="161"/>
      <c r="I166" s="55"/>
    </row>
    <row r="167" spans="1:9" x14ac:dyDescent="0.2">
      <c r="A167" s="50">
        <v>5</v>
      </c>
      <c r="B167" s="50" t="s">
        <v>268</v>
      </c>
      <c r="C167" s="52"/>
      <c r="D167" s="20" t="s">
        <v>149</v>
      </c>
      <c r="E167" s="19" t="s">
        <v>265</v>
      </c>
      <c r="F167" s="156"/>
      <c r="G167" s="156"/>
      <c r="H167" s="156"/>
      <c r="I167" s="55"/>
    </row>
    <row r="168" spans="1:9" x14ac:dyDescent="0.2">
      <c r="A168" s="50">
        <v>2</v>
      </c>
      <c r="B168" s="50" t="s">
        <v>269</v>
      </c>
      <c r="C168" s="52"/>
      <c r="D168" s="20" t="s">
        <v>149</v>
      </c>
      <c r="E168" s="19" t="s">
        <v>265</v>
      </c>
      <c r="F168" s="160">
        <f>60000+581139.12</f>
        <v>641139.12</v>
      </c>
      <c r="G168" s="160">
        <f>60000</f>
        <v>60000</v>
      </c>
      <c r="H168" s="160">
        <f>60000</f>
        <v>60000</v>
      </c>
      <c r="I168" s="55"/>
    </row>
    <row r="169" spans="1:9" x14ac:dyDescent="0.2">
      <c r="A169" s="50">
        <v>2</v>
      </c>
      <c r="B169" s="50" t="s">
        <v>269</v>
      </c>
      <c r="C169" s="52"/>
      <c r="D169" s="20" t="s">
        <v>147</v>
      </c>
      <c r="E169" s="19" t="s">
        <v>265</v>
      </c>
      <c r="F169" s="378"/>
      <c r="G169" s="378"/>
      <c r="H169" s="378"/>
      <c r="I169" s="55"/>
    </row>
    <row r="170" spans="1:9" x14ac:dyDescent="0.2">
      <c r="A170" s="50">
        <v>4</v>
      </c>
      <c r="B170" s="50" t="s">
        <v>267</v>
      </c>
      <c r="C170" s="52"/>
      <c r="D170" s="20" t="s">
        <v>149</v>
      </c>
      <c r="E170" s="19" t="s">
        <v>506</v>
      </c>
      <c r="F170" s="360"/>
      <c r="G170" s="161"/>
      <c r="H170" s="161"/>
      <c r="I170" s="55"/>
    </row>
    <row r="171" spans="1:9" x14ac:dyDescent="0.2">
      <c r="A171" s="50">
        <v>5</v>
      </c>
      <c r="B171" s="50" t="s">
        <v>268</v>
      </c>
      <c r="C171" s="52"/>
      <c r="D171" s="20" t="s">
        <v>149</v>
      </c>
      <c r="E171" s="19" t="s">
        <v>278</v>
      </c>
      <c r="F171" s="156"/>
      <c r="G171" s="156"/>
      <c r="H171" s="156"/>
      <c r="I171" s="55"/>
    </row>
    <row r="172" spans="1:9" x14ac:dyDescent="0.2">
      <c r="A172" s="50">
        <v>2</v>
      </c>
      <c r="B172" s="50" t="s">
        <v>269</v>
      </c>
      <c r="C172" s="52"/>
      <c r="D172" s="20" t="s">
        <v>149</v>
      </c>
      <c r="E172" s="19" t="s">
        <v>278</v>
      </c>
      <c r="F172" s="160"/>
      <c r="G172" s="160"/>
      <c r="H172" s="160"/>
      <c r="I172" s="55"/>
    </row>
    <row r="173" spans="1:9" x14ac:dyDescent="0.2">
      <c r="A173" s="50">
        <v>4</v>
      </c>
      <c r="B173" s="50" t="s">
        <v>267</v>
      </c>
      <c r="C173" s="52"/>
      <c r="D173" s="20" t="s">
        <v>149</v>
      </c>
      <c r="E173" s="19" t="s">
        <v>279</v>
      </c>
      <c r="F173" s="161">
        <f>24600</f>
        <v>24600</v>
      </c>
      <c r="G173" s="161">
        <f>24600</f>
        <v>24600</v>
      </c>
      <c r="H173" s="161">
        <f>24600</f>
        <v>24600</v>
      </c>
      <c r="I173" s="55"/>
    </row>
    <row r="174" spans="1:9" x14ac:dyDescent="0.2">
      <c r="A174" s="50">
        <v>5</v>
      </c>
      <c r="B174" s="50" t="s">
        <v>268</v>
      </c>
      <c r="C174" s="52"/>
      <c r="D174" s="20" t="s">
        <v>149</v>
      </c>
      <c r="E174" s="19" t="s">
        <v>279</v>
      </c>
      <c r="F174" s="156">
        <v>200000</v>
      </c>
      <c r="G174" s="156"/>
      <c r="H174" s="156"/>
      <c r="I174" s="55"/>
    </row>
    <row r="175" spans="1:9" x14ac:dyDescent="0.2">
      <c r="A175" s="50">
        <v>2</v>
      </c>
      <c r="B175" s="50" t="s">
        <v>269</v>
      </c>
      <c r="C175" s="52"/>
      <c r="D175" s="20" t="s">
        <v>149</v>
      </c>
      <c r="E175" s="19" t="s">
        <v>279</v>
      </c>
      <c r="F175" s="160">
        <f>30000</f>
        <v>30000</v>
      </c>
      <c r="G175" s="160">
        <f>30000</f>
        <v>30000</v>
      </c>
      <c r="H175" s="160">
        <f>30000</f>
        <v>30000</v>
      </c>
      <c r="I175" s="55"/>
    </row>
    <row r="176" spans="1:9" x14ac:dyDescent="0.2">
      <c r="A176" s="50">
        <v>4</v>
      </c>
      <c r="B176" s="50" t="s">
        <v>267</v>
      </c>
      <c r="C176" s="52"/>
      <c r="D176" s="20" t="s">
        <v>149</v>
      </c>
      <c r="E176" s="379" t="s">
        <v>107</v>
      </c>
      <c r="F176" s="161"/>
      <c r="G176" s="161"/>
      <c r="H176" s="161"/>
      <c r="I176" s="55"/>
    </row>
    <row r="177" spans="1:9" x14ac:dyDescent="0.2">
      <c r="A177" s="50">
        <v>5</v>
      </c>
      <c r="B177" s="50" t="s">
        <v>268</v>
      </c>
      <c r="C177" s="52"/>
      <c r="D177" s="20" t="s">
        <v>149</v>
      </c>
      <c r="E177" s="19" t="s">
        <v>280</v>
      </c>
      <c r="F177" s="156"/>
      <c r="G177" s="156"/>
      <c r="H177" s="156"/>
      <c r="I177" s="55"/>
    </row>
    <row r="178" spans="1:9" x14ac:dyDescent="0.2">
      <c r="A178" s="50">
        <v>2</v>
      </c>
      <c r="B178" s="50" t="s">
        <v>269</v>
      </c>
      <c r="C178" s="52"/>
      <c r="D178" s="20" t="s">
        <v>149</v>
      </c>
      <c r="E178" s="19" t="s">
        <v>475</v>
      </c>
      <c r="F178" s="160"/>
      <c r="G178" s="160"/>
      <c r="H178" s="160"/>
      <c r="I178" s="55"/>
    </row>
    <row r="179" spans="1:9" x14ac:dyDescent="0.2">
      <c r="A179" s="50">
        <v>4</v>
      </c>
      <c r="B179" s="50" t="s">
        <v>267</v>
      </c>
      <c r="C179" s="52"/>
      <c r="D179" s="20" t="s">
        <v>149</v>
      </c>
      <c r="E179" s="19" t="s">
        <v>281</v>
      </c>
      <c r="F179" s="161"/>
      <c r="G179" s="161"/>
      <c r="H179" s="161"/>
      <c r="I179" s="55"/>
    </row>
    <row r="180" spans="1:9" x14ac:dyDescent="0.2">
      <c r="A180" s="50">
        <v>5</v>
      </c>
      <c r="B180" s="50" t="s">
        <v>268</v>
      </c>
      <c r="C180" s="52"/>
      <c r="D180" s="20" t="s">
        <v>149</v>
      </c>
      <c r="E180" s="19" t="s">
        <v>281</v>
      </c>
      <c r="F180" s="156"/>
      <c r="G180" s="156"/>
      <c r="H180" s="156"/>
      <c r="I180" s="55"/>
    </row>
    <row r="181" spans="1:9" x14ac:dyDescent="0.2">
      <c r="A181" s="50">
        <v>2</v>
      </c>
      <c r="B181" s="50" t="s">
        <v>269</v>
      </c>
      <c r="C181" s="52"/>
      <c r="D181" s="20" t="s">
        <v>149</v>
      </c>
      <c r="E181" s="19" t="s">
        <v>281</v>
      </c>
      <c r="F181" s="160">
        <f>34800+200000</f>
        <v>234800</v>
      </c>
      <c r="G181" s="160">
        <f>34800</f>
        <v>34800</v>
      </c>
      <c r="H181" s="160">
        <f>34800</f>
        <v>34800</v>
      </c>
      <c r="I181" s="55"/>
    </row>
    <row r="182" spans="1:9" x14ac:dyDescent="0.2">
      <c r="A182" s="50">
        <v>4</v>
      </c>
      <c r="B182" s="50" t="s">
        <v>267</v>
      </c>
      <c r="C182" s="52"/>
      <c r="D182" s="20" t="s">
        <v>149</v>
      </c>
      <c r="E182" s="19" t="s">
        <v>282</v>
      </c>
      <c r="F182" s="161"/>
      <c r="G182" s="161"/>
      <c r="H182" s="161"/>
      <c r="I182" s="55"/>
    </row>
    <row r="183" spans="1:9" x14ac:dyDescent="0.2">
      <c r="A183" s="50">
        <v>5</v>
      </c>
      <c r="B183" s="50" t="s">
        <v>268</v>
      </c>
      <c r="C183" s="52"/>
      <c r="D183" s="20" t="s">
        <v>149</v>
      </c>
      <c r="E183" s="19" t="s">
        <v>282</v>
      </c>
      <c r="F183" s="156"/>
      <c r="G183" s="156"/>
      <c r="H183" s="156"/>
      <c r="I183" s="55"/>
    </row>
    <row r="184" spans="1:9" x14ac:dyDescent="0.2">
      <c r="A184" s="50">
        <v>2</v>
      </c>
      <c r="B184" s="50" t="s">
        <v>269</v>
      </c>
      <c r="C184" s="52"/>
      <c r="D184" s="20" t="s">
        <v>149</v>
      </c>
      <c r="E184" s="19" t="s">
        <v>282</v>
      </c>
      <c r="F184" s="160"/>
      <c r="G184" s="160"/>
      <c r="H184" s="160"/>
      <c r="I184" s="55"/>
    </row>
    <row r="185" spans="1:9" x14ac:dyDescent="0.2">
      <c r="A185" s="50">
        <v>4</v>
      </c>
      <c r="B185" s="50" t="s">
        <v>267</v>
      </c>
      <c r="C185" s="52"/>
      <c r="D185" s="20" t="s">
        <v>149</v>
      </c>
      <c r="E185" s="19" t="s">
        <v>283</v>
      </c>
      <c r="F185" s="161">
        <f>100740</f>
        <v>100740</v>
      </c>
      <c r="G185" s="161"/>
      <c r="H185" s="161"/>
      <c r="I185" s="55"/>
    </row>
    <row r="186" spans="1:9" x14ac:dyDescent="0.2">
      <c r="A186" s="50">
        <v>5</v>
      </c>
      <c r="B186" s="50" t="s">
        <v>268</v>
      </c>
      <c r="C186" s="52"/>
      <c r="D186" s="20" t="s">
        <v>149</v>
      </c>
      <c r="E186" s="19" t="s">
        <v>283</v>
      </c>
      <c r="F186" s="156"/>
      <c r="G186" s="156"/>
      <c r="H186" s="156"/>
      <c r="I186" s="55"/>
    </row>
    <row r="187" spans="1:9" x14ac:dyDescent="0.2">
      <c r="A187" s="50">
        <v>2</v>
      </c>
      <c r="B187" s="50" t="s">
        <v>269</v>
      </c>
      <c r="C187" s="52"/>
      <c r="D187" s="20" t="s">
        <v>149</v>
      </c>
      <c r="E187" s="19" t="s">
        <v>283</v>
      </c>
      <c r="F187" s="160">
        <f>20000+200000</f>
        <v>220000</v>
      </c>
      <c r="G187" s="160">
        <f>20000</f>
        <v>20000</v>
      </c>
      <c r="H187" s="160">
        <f>20000</f>
        <v>20000</v>
      </c>
      <c r="I187" s="55"/>
    </row>
    <row r="188" spans="1:9" x14ac:dyDescent="0.2">
      <c r="A188" s="50">
        <v>4</v>
      </c>
      <c r="B188" s="50" t="s">
        <v>267</v>
      </c>
      <c r="C188" s="52"/>
      <c r="D188" s="20" t="s">
        <v>149</v>
      </c>
      <c r="E188" s="19" t="s">
        <v>284</v>
      </c>
      <c r="F188" s="161"/>
      <c r="G188" s="161"/>
      <c r="H188" s="161"/>
      <c r="I188" s="55"/>
    </row>
    <row r="189" spans="1:9" x14ac:dyDescent="0.2">
      <c r="A189" s="50">
        <v>5</v>
      </c>
      <c r="B189" s="50" t="s">
        <v>268</v>
      </c>
      <c r="C189" s="52"/>
      <c r="D189" s="20" t="s">
        <v>149</v>
      </c>
      <c r="E189" s="19" t="s">
        <v>284</v>
      </c>
      <c r="F189" s="156"/>
      <c r="G189" s="156"/>
      <c r="H189" s="156"/>
      <c r="I189" s="55"/>
    </row>
    <row r="190" spans="1:9" x14ac:dyDescent="0.2">
      <c r="A190" s="50">
        <v>2</v>
      </c>
      <c r="B190" s="50" t="s">
        <v>269</v>
      </c>
      <c r="C190" s="52"/>
      <c r="D190" s="20" t="s">
        <v>149</v>
      </c>
      <c r="E190" s="19" t="s">
        <v>284</v>
      </c>
      <c r="F190" s="160">
        <v>0</v>
      </c>
      <c r="G190" s="160">
        <v>0</v>
      </c>
      <c r="H190" s="160">
        <v>0</v>
      </c>
      <c r="I190" s="55"/>
    </row>
    <row r="191" spans="1:9" ht="37.5" customHeight="1" x14ac:dyDescent="0.2">
      <c r="A191" s="427" t="s">
        <v>575</v>
      </c>
      <c r="B191" s="428"/>
      <c r="C191" s="406" t="s">
        <v>151</v>
      </c>
      <c r="D191" s="407" t="s">
        <v>572</v>
      </c>
      <c r="E191" s="19"/>
      <c r="F191" s="405"/>
      <c r="G191" s="405"/>
      <c r="H191" s="405"/>
      <c r="I191" s="55"/>
    </row>
    <row r="192" spans="1:9" ht="15" customHeight="1" x14ac:dyDescent="0.2">
      <c r="A192" s="423" t="s">
        <v>574</v>
      </c>
      <c r="B192" s="424"/>
      <c r="C192" s="14" t="s">
        <v>573</v>
      </c>
      <c r="D192" s="16" t="s">
        <v>545</v>
      </c>
      <c r="E192" s="16"/>
      <c r="F192" s="411">
        <f>SUM(F193:F194)</f>
        <v>3569458.69</v>
      </c>
      <c r="G192" s="17"/>
      <c r="H192" s="17"/>
      <c r="I192" s="17"/>
    </row>
    <row r="193" spans="1:9" x14ac:dyDescent="0.2">
      <c r="A193" s="50">
        <v>4</v>
      </c>
      <c r="B193" s="50" t="s">
        <v>267</v>
      </c>
      <c r="C193" s="52"/>
      <c r="D193" s="412" t="s">
        <v>545</v>
      </c>
      <c r="E193" s="19" t="s">
        <v>275</v>
      </c>
      <c r="F193" s="360">
        <f>3123000+398858.69</f>
        <v>3521858.69</v>
      </c>
      <c r="G193" s="161">
        <v>3220000</v>
      </c>
      <c r="H193" s="161">
        <v>3314000</v>
      </c>
      <c r="I193" s="55"/>
    </row>
    <row r="194" spans="1:9" x14ac:dyDescent="0.2">
      <c r="A194" s="50">
        <v>2</v>
      </c>
      <c r="B194" s="50" t="s">
        <v>269</v>
      </c>
      <c r="C194" s="52"/>
      <c r="D194" s="412" t="s">
        <v>545</v>
      </c>
      <c r="E194" s="19" t="s">
        <v>275</v>
      </c>
      <c r="F194" s="160">
        <f>47600</f>
        <v>47600</v>
      </c>
      <c r="G194" s="160">
        <f>47600</f>
        <v>47600</v>
      </c>
      <c r="H194" s="160">
        <f>47600</f>
        <v>47600</v>
      </c>
      <c r="I194" s="55"/>
    </row>
    <row r="195" spans="1:9" ht="26.25" customHeight="1" x14ac:dyDescent="0.2">
      <c r="A195" s="427" t="s">
        <v>150</v>
      </c>
      <c r="B195" s="428"/>
      <c r="C195" s="14" t="s">
        <v>576</v>
      </c>
      <c r="D195" s="16" t="s">
        <v>152</v>
      </c>
      <c r="E195" s="16"/>
      <c r="F195" s="151"/>
      <c r="G195" s="17"/>
      <c r="H195" s="17"/>
      <c r="I195" s="17"/>
    </row>
    <row r="196" spans="1:9" ht="13.5" customHeight="1" x14ac:dyDescent="0.2">
      <c r="A196" s="403" t="s">
        <v>43</v>
      </c>
      <c r="B196" s="404"/>
      <c r="C196" s="14"/>
      <c r="D196" s="16"/>
      <c r="E196" s="16"/>
      <c r="F196" s="151"/>
      <c r="G196" s="17"/>
      <c r="H196" s="17"/>
      <c r="I196" s="17"/>
    </row>
    <row r="197" spans="1:9" ht="25.5" customHeight="1" x14ac:dyDescent="0.2">
      <c r="A197" s="423" t="s">
        <v>579</v>
      </c>
      <c r="B197" s="424"/>
      <c r="C197" s="14" t="s">
        <v>577</v>
      </c>
      <c r="D197" s="16" t="s">
        <v>153</v>
      </c>
      <c r="E197" s="16"/>
      <c r="F197" s="151"/>
      <c r="G197" s="17"/>
      <c r="H197" s="17"/>
      <c r="I197" s="17"/>
    </row>
    <row r="198" spans="1:9" ht="35.25" customHeight="1" x14ac:dyDescent="0.2">
      <c r="A198" s="423" t="s">
        <v>154</v>
      </c>
      <c r="B198" s="424"/>
      <c r="C198" s="14" t="s">
        <v>578</v>
      </c>
      <c r="D198" s="16" t="s">
        <v>155</v>
      </c>
      <c r="E198" s="16"/>
      <c r="F198" s="151"/>
      <c r="G198" s="17"/>
      <c r="H198" s="17"/>
      <c r="I198" s="17"/>
    </row>
    <row r="199" spans="1:9" ht="12.6" x14ac:dyDescent="0.2">
      <c r="A199" s="422" t="s">
        <v>156</v>
      </c>
      <c r="B199" s="422"/>
      <c r="C199" s="25" t="s">
        <v>157</v>
      </c>
      <c r="D199" s="26" t="s">
        <v>158</v>
      </c>
      <c r="E199" s="16"/>
      <c r="F199" s="151"/>
      <c r="G199" s="17"/>
      <c r="H199" s="17"/>
      <c r="I199" s="17" t="s">
        <v>35</v>
      </c>
    </row>
    <row r="200" spans="1:9" x14ac:dyDescent="0.2">
      <c r="A200" s="420" t="s">
        <v>159</v>
      </c>
      <c r="B200" s="420"/>
      <c r="C200" s="14" t="s">
        <v>160</v>
      </c>
      <c r="D200" s="16"/>
      <c r="E200" s="16"/>
      <c r="F200" s="151"/>
      <c r="G200" s="17"/>
      <c r="H200" s="17"/>
      <c r="I200" s="17" t="s">
        <v>35</v>
      </c>
    </row>
    <row r="201" spans="1:9" x14ac:dyDescent="0.2">
      <c r="A201" s="420" t="s">
        <v>161</v>
      </c>
      <c r="B201" s="420"/>
      <c r="C201" s="14" t="s">
        <v>162</v>
      </c>
      <c r="D201" s="16"/>
      <c r="E201" s="16"/>
      <c r="F201" s="151"/>
      <c r="G201" s="17"/>
      <c r="H201" s="17"/>
      <c r="I201" s="17" t="s">
        <v>35</v>
      </c>
    </row>
    <row r="202" spans="1:9" x14ac:dyDescent="0.2">
      <c r="A202" s="420" t="s">
        <v>164</v>
      </c>
      <c r="B202" s="420"/>
      <c r="C202" s="14" t="s">
        <v>163</v>
      </c>
      <c r="D202" s="16"/>
      <c r="E202" s="16"/>
      <c r="F202" s="151"/>
      <c r="G202" s="17"/>
      <c r="H202" s="17"/>
      <c r="I202" s="17" t="s">
        <v>35</v>
      </c>
    </row>
    <row r="203" spans="1:9" ht="12.6" x14ac:dyDescent="0.2">
      <c r="A203" s="422" t="s">
        <v>165</v>
      </c>
      <c r="B203" s="422"/>
      <c r="C203" s="25" t="s">
        <v>166</v>
      </c>
      <c r="D203" s="26" t="s">
        <v>35</v>
      </c>
      <c r="E203" s="16"/>
      <c r="F203" s="151"/>
      <c r="G203" s="17"/>
      <c r="H203" s="17"/>
      <c r="I203" s="17" t="s">
        <v>35</v>
      </c>
    </row>
    <row r="204" spans="1:9" x14ac:dyDescent="0.2">
      <c r="A204" s="420" t="s">
        <v>167</v>
      </c>
      <c r="B204" s="420"/>
      <c r="C204" s="14" t="s">
        <v>168</v>
      </c>
      <c r="D204" s="16" t="s">
        <v>169</v>
      </c>
      <c r="E204" s="16"/>
      <c r="F204" s="151"/>
      <c r="G204" s="17"/>
      <c r="H204" s="17"/>
      <c r="I204" s="17" t="s">
        <v>35</v>
      </c>
    </row>
    <row r="205" spans="1:9" ht="10.8" thickBot="1" x14ac:dyDescent="0.25">
      <c r="A205" s="420"/>
      <c r="B205" s="420"/>
      <c r="C205" s="15"/>
      <c r="D205" s="22"/>
      <c r="E205" s="22"/>
      <c r="F205" s="153"/>
      <c r="G205" s="153"/>
      <c r="H205" s="153"/>
      <c r="I205" s="23"/>
    </row>
    <row r="206" spans="1:9" ht="3" customHeight="1" x14ac:dyDescent="0.2"/>
    <row r="207" spans="1:9" s="3" customFormat="1" ht="11.25" customHeight="1" x14ac:dyDescent="0.2">
      <c r="A207" s="8" t="s">
        <v>236</v>
      </c>
      <c r="F207" s="143"/>
    </row>
    <row r="208" spans="1:9" s="3" customFormat="1" ht="11.25" customHeight="1" x14ac:dyDescent="0.2">
      <c r="A208" s="8" t="s">
        <v>237</v>
      </c>
      <c r="F208" s="143"/>
    </row>
    <row r="209" spans="1:9" s="3" customFormat="1" ht="11.25" customHeight="1" x14ac:dyDescent="0.2">
      <c r="A209" s="8" t="s">
        <v>238</v>
      </c>
      <c r="F209" s="143"/>
    </row>
    <row r="210" spans="1:9" s="3" customFormat="1" ht="10.5" customHeight="1" x14ac:dyDescent="0.2">
      <c r="A210" s="8" t="s">
        <v>239</v>
      </c>
      <c r="F210" s="143"/>
    </row>
    <row r="211" spans="1:9" s="3" customFormat="1" ht="10.5" customHeight="1" x14ac:dyDescent="0.2">
      <c r="A211" s="8" t="s">
        <v>240</v>
      </c>
      <c r="F211" s="143"/>
    </row>
    <row r="212" spans="1:9" s="3" customFormat="1" ht="10.5" customHeight="1" x14ac:dyDescent="0.2">
      <c r="A212" s="8" t="s">
        <v>580</v>
      </c>
      <c r="F212" s="143"/>
    </row>
    <row r="213" spans="1:9" s="3" customFormat="1" ht="19.5" customHeight="1" x14ac:dyDescent="0.2">
      <c r="A213" s="419" t="s">
        <v>241</v>
      </c>
      <c r="B213" s="419"/>
      <c r="C213" s="419"/>
      <c r="D213" s="419"/>
      <c r="E213" s="419"/>
      <c r="F213" s="419"/>
      <c r="G213" s="419"/>
      <c r="H213" s="419"/>
      <c r="I213" s="419"/>
    </row>
    <row r="214" spans="1:9" s="3" customFormat="1" ht="10.5" customHeight="1" x14ac:dyDescent="0.2">
      <c r="A214" s="8" t="s">
        <v>242</v>
      </c>
      <c r="F214" s="143"/>
    </row>
    <row r="215" spans="1:9" s="3" customFormat="1" ht="30" customHeight="1" x14ac:dyDescent="0.2">
      <c r="A215" s="419" t="s">
        <v>243</v>
      </c>
      <c r="B215" s="419"/>
      <c r="C215" s="419"/>
      <c r="D215" s="419"/>
      <c r="E215" s="419"/>
      <c r="F215" s="419"/>
      <c r="G215" s="419"/>
      <c r="H215" s="419"/>
      <c r="I215" s="419"/>
    </row>
    <row r="216" spans="1:9" s="3" customFormat="1" ht="19.5" customHeight="1" x14ac:dyDescent="0.2">
      <c r="A216" s="419" t="s">
        <v>244</v>
      </c>
      <c r="B216" s="419"/>
      <c r="C216" s="419"/>
      <c r="D216" s="419"/>
      <c r="E216" s="419"/>
      <c r="F216" s="419"/>
      <c r="G216" s="419"/>
      <c r="H216" s="419"/>
      <c r="I216" s="419"/>
    </row>
    <row r="217" spans="1:9" s="3" customFormat="1" ht="30" customHeight="1" x14ac:dyDescent="0.2">
      <c r="A217" s="419" t="s">
        <v>245</v>
      </c>
      <c r="B217" s="419"/>
      <c r="C217" s="419"/>
      <c r="D217" s="419"/>
      <c r="E217" s="419"/>
      <c r="F217" s="419"/>
      <c r="G217" s="419"/>
      <c r="H217" s="419"/>
      <c r="I217" s="419"/>
    </row>
    <row r="218" spans="1:9" s="3" customFormat="1" ht="25.5" customHeight="1" x14ac:dyDescent="0.2">
      <c r="A218" s="421" t="s">
        <v>581</v>
      </c>
      <c r="B218" s="421"/>
      <c r="C218" s="421"/>
      <c r="D218" s="421"/>
      <c r="E218" s="421"/>
      <c r="F218" s="421"/>
      <c r="G218" s="421"/>
      <c r="H218" s="421"/>
      <c r="I218" s="421"/>
    </row>
    <row r="219" spans="1:9" s="3" customFormat="1" ht="11.25" customHeight="1" x14ac:dyDescent="0.2">
      <c r="A219" s="8" t="s">
        <v>246</v>
      </c>
      <c r="F219" s="143"/>
    </row>
    <row r="220" spans="1:9" s="3" customFormat="1" ht="30" customHeight="1" x14ac:dyDescent="0.2">
      <c r="A220" s="419" t="s">
        <v>247</v>
      </c>
      <c r="B220" s="419"/>
      <c r="C220" s="419"/>
      <c r="D220" s="419"/>
      <c r="E220" s="419"/>
      <c r="F220" s="419"/>
      <c r="G220" s="419"/>
      <c r="H220" s="419"/>
      <c r="I220" s="419"/>
    </row>
    <row r="221" spans="1:9" ht="3" customHeight="1" x14ac:dyDescent="0.2"/>
  </sheetData>
  <autoFilter ref="A83:E204">
    <filterColumn colId="0" showButton="0"/>
  </autoFilter>
  <mergeCells count="104">
    <mergeCell ref="F4:I4"/>
    <mergeCell ref="I16:I17"/>
    <mergeCell ref="E2:I2"/>
    <mergeCell ref="A36:B36"/>
    <mergeCell ref="A35:B35"/>
    <mergeCell ref="A32:B32"/>
    <mergeCell ref="G7:I7"/>
    <mergeCell ref="G9:I9"/>
    <mergeCell ref="H12:I12"/>
    <mergeCell ref="A57:B57"/>
    <mergeCell ref="A59:B59"/>
    <mergeCell ref="A38:B38"/>
    <mergeCell ref="F28:I28"/>
    <mergeCell ref="A28:B30"/>
    <mergeCell ref="C28:C30"/>
    <mergeCell ref="D28:D30"/>
    <mergeCell ref="E28:E30"/>
    <mergeCell ref="A54:B54"/>
    <mergeCell ref="A52:B52"/>
    <mergeCell ref="C54:C55"/>
    <mergeCell ref="A56:B56"/>
    <mergeCell ref="A55:B55"/>
    <mergeCell ref="H11:I11"/>
    <mergeCell ref="I29:I30"/>
    <mergeCell ref="B23:F23"/>
    <mergeCell ref="A31:B31"/>
    <mergeCell ref="A26:I26"/>
    <mergeCell ref="I38:I39"/>
    <mergeCell ref="A41:B41"/>
    <mergeCell ref="A40:B40"/>
    <mergeCell ref="A53:B53"/>
    <mergeCell ref="A37:B37"/>
    <mergeCell ref="I57:I58"/>
    <mergeCell ref="F54:F55"/>
    <mergeCell ref="G54:G55"/>
    <mergeCell ref="H54:H55"/>
    <mergeCell ref="I54:I55"/>
    <mergeCell ref="D54:D55"/>
    <mergeCell ref="E54:E55"/>
    <mergeCell ref="A77:B77"/>
    <mergeCell ref="A79:B79"/>
    <mergeCell ref="A80:B80"/>
    <mergeCell ref="A60:B60"/>
    <mergeCell ref="A74:B74"/>
    <mergeCell ref="A75:B75"/>
    <mergeCell ref="A76:B76"/>
    <mergeCell ref="A95:B95"/>
    <mergeCell ref="A102:B102"/>
    <mergeCell ref="A87:B87"/>
    <mergeCell ref="A88:B88"/>
    <mergeCell ref="A81:B81"/>
    <mergeCell ref="A83:B83"/>
    <mergeCell ref="A82:B82"/>
    <mergeCell ref="A110:B110"/>
    <mergeCell ref="A111:B111"/>
    <mergeCell ref="A108:B108"/>
    <mergeCell ref="A109:B109"/>
    <mergeCell ref="A103:B103"/>
    <mergeCell ref="A107:B107"/>
    <mergeCell ref="A116:B116"/>
    <mergeCell ref="A114:B114"/>
    <mergeCell ref="A115:B115"/>
    <mergeCell ref="A112:B112"/>
    <mergeCell ref="A113:B113"/>
    <mergeCell ref="A123:B123"/>
    <mergeCell ref="A127:B127"/>
    <mergeCell ref="A121:B121"/>
    <mergeCell ref="A122:B122"/>
    <mergeCell ref="A119:B119"/>
    <mergeCell ref="A120:B120"/>
    <mergeCell ref="A135:B135"/>
    <mergeCell ref="A139:B139"/>
    <mergeCell ref="A133:B133"/>
    <mergeCell ref="A134:B134"/>
    <mergeCell ref="A129:B129"/>
    <mergeCell ref="A132:B132"/>
    <mergeCell ref="A147:B147"/>
    <mergeCell ref="A136:B136"/>
    <mergeCell ref="A137:B137"/>
    <mergeCell ref="A138:B138"/>
    <mergeCell ref="A148:B148"/>
    <mergeCell ref="A145:B145"/>
    <mergeCell ref="A146:B146"/>
    <mergeCell ref="A140:B140"/>
    <mergeCell ref="A141:B141"/>
    <mergeCell ref="A197:B197"/>
    <mergeCell ref="A195:B195"/>
    <mergeCell ref="A149:B149"/>
    <mergeCell ref="A191:B191"/>
    <mergeCell ref="A192:B192"/>
    <mergeCell ref="A203:B203"/>
    <mergeCell ref="A202:B202"/>
    <mergeCell ref="A201:B201"/>
    <mergeCell ref="A200:B200"/>
    <mergeCell ref="A199:B199"/>
    <mergeCell ref="A198:B198"/>
    <mergeCell ref="A220:I220"/>
    <mergeCell ref="A213:I213"/>
    <mergeCell ref="A215:I215"/>
    <mergeCell ref="A216:I216"/>
    <mergeCell ref="A217:I217"/>
    <mergeCell ref="A204:B204"/>
    <mergeCell ref="A205:B205"/>
    <mergeCell ref="A218:I218"/>
  </mergeCells>
  <pageMargins left="0.59055118110236227" right="0.51181102362204722" top="0.78740157480314965" bottom="0.31496062992125984" header="0.19685039370078741" footer="0.19685039370078741"/>
  <pageSetup paperSize="9" scale="75" fitToHeight="0" orientation="portrait" r:id="rId1"/>
  <headerFooter alignWithMargins="0">
    <oddHeader>&amp;L&amp;6&amp;F</oddHeader>
  </headerFooter>
  <rowBreaks count="3" manualBreakCount="3">
    <brk id="82" max="8" man="1"/>
    <brk id="140" max="8" man="1"/>
    <brk id="20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view="pageBreakPreview" topLeftCell="A7" zoomScale="83" zoomScaleNormal="100" zoomScaleSheetLayoutView="83" workbookViewId="0">
      <selection activeCell="I31" sqref="I31"/>
    </sheetView>
  </sheetViews>
  <sheetFormatPr defaultColWidth="0.88671875" defaultRowHeight="10.199999999999999" x14ac:dyDescent="0.2"/>
  <cols>
    <col min="1" max="1" width="8.33203125" style="1" customWidth="1"/>
    <col min="2" max="2" width="53.44140625" style="1" customWidth="1"/>
    <col min="3" max="3" width="8.88671875" style="1" customWidth="1"/>
    <col min="4" max="6" width="9.33203125" style="1" customWidth="1"/>
    <col min="7" max="7" width="11.5546875" style="1" customWidth="1"/>
    <col min="8" max="8" width="11.6640625" style="1" customWidth="1"/>
    <col min="9" max="9" width="12" style="1" customWidth="1"/>
    <col min="10" max="10" width="8.44140625" style="1" customWidth="1"/>
    <col min="11" max="13" width="0.88671875" style="1"/>
    <col min="14" max="14" width="15.5546875" style="1" customWidth="1"/>
    <col min="15" max="15" width="17.88671875" style="1" customWidth="1"/>
    <col min="16" max="16" width="12.88671875" style="1" customWidth="1"/>
    <col min="17" max="24" width="9.5546875" style="1" customWidth="1"/>
    <col min="25" max="16384" width="0.88671875" style="1"/>
  </cols>
  <sheetData>
    <row r="1" spans="1:24" s="6" customFormat="1" ht="13.5" customHeight="1" x14ac:dyDescent="0.2">
      <c r="B1" s="49" t="s">
        <v>176</v>
      </c>
      <c r="C1" s="49"/>
      <c r="D1" s="49"/>
      <c r="E1" s="49"/>
      <c r="F1" s="49"/>
      <c r="G1" s="49"/>
      <c r="H1" s="49"/>
      <c r="I1" s="49"/>
      <c r="J1" s="49"/>
    </row>
    <row r="3" spans="1:24" ht="11.25" customHeight="1" x14ac:dyDescent="0.2">
      <c r="A3" s="484" t="s">
        <v>170</v>
      </c>
      <c r="B3" s="456" t="s">
        <v>0</v>
      </c>
      <c r="C3" s="447" t="s">
        <v>171</v>
      </c>
      <c r="D3" s="447" t="s">
        <v>172</v>
      </c>
      <c r="E3" s="460" t="s">
        <v>526</v>
      </c>
      <c r="F3" s="460" t="s">
        <v>584</v>
      </c>
      <c r="G3" s="454" t="s">
        <v>8</v>
      </c>
      <c r="H3" s="455"/>
      <c r="I3" s="455"/>
      <c r="J3" s="455"/>
    </row>
    <row r="4" spans="1:24" ht="11.25" customHeight="1" x14ac:dyDescent="0.2">
      <c r="A4" s="485"/>
      <c r="B4" s="457"/>
      <c r="C4" s="459"/>
      <c r="D4" s="459"/>
      <c r="E4" s="475"/>
      <c r="F4" s="461"/>
      <c r="G4" s="18" t="s">
        <v>253</v>
      </c>
      <c r="H4" s="18" t="s">
        <v>543</v>
      </c>
      <c r="I4" s="18" t="s">
        <v>595</v>
      </c>
      <c r="J4" s="447" t="s">
        <v>7</v>
      </c>
    </row>
    <row r="5" spans="1:24" ht="39" customHeight="1" x14ac:dyDescent="0.2">
      <c r="A5" s="486"/>
      <c r="B5" s="458"/>
      <c r="C5" s="448"/>
      <c r="D5" s="448"/>
      <c r="E5" s="476"/>
      <c r="F5" s="462"/>
      <c r="G5" s="9" t="s">
        <v>173</v>
      </c>
      <c r="H5" s="9" t="s">
        <v>174</v>
      </c>
      <c r="I5" s="9" t="s">
        <v>175</v>
      </c>
      <c r="J5" s="448"/>
    </row>
    <row r="6" spans="1:24" ht="10.8" thickBot="1" x14ac:dyDescent="0.25">
      <c r="A6" s="33" t="s">
        <v>9</v>
      </c>
      <c r="B6" s="33" t="s">
        <v>10</v>
      </c>
      <c r="C6" s="29" t="s">
        <v>11</v>
      </c>
      <c r="D6" s="10" t="s">
        <v>12</v>
      </c>
      <c r="E6" s="10" t="s">
        <v>527</v>
      </c>
      <c r="F6" s="10" t="s">
        <v>583</v>
      </c>
      <c r="G6" s="10" t="s">
        <v>13</v>
      </c>
      <c r="H6" s="10" t="s">
        <v>14</v>
      </c>
      <c r="I6" s="10" t="s">
        <v>15</v>
      </c>
      <c r="J6" s="10" t="s">
        <v>16</v>
      </c>
    </row>
    <row r="7" spans="1:24" ht="24.75" customHeight="1" x14ac:dyDescent="0.2">
      <c r="A7" s="35">
        <v>1</v>
      </c>
      <c r="B7" s="37" t="s">
        <v>177</v>
      </c>
      <c r="C7" s="24" t="s">
        <v>178</v>
      </c>
      <c r="D7" s="12" t="s">
        <v>35</v>
      </c>
      <c r="E7" s="12"/>
      <c r="F7" s="12"/>
      <c r="G7" s="355">
        <f>'Раздел 1'!F141+'Раздел 1'!F118</f>
        <v>9048827.2799999993</v>
      </c>
      <c r="H7" s="355">
        <f>'Раздел 1'!G141+'Раздел 1'!G118</f>
        <v>6386500</v>
      </c>
      <c r="I7" s="355">
        <f>'Раздел 1'!H141+'Раздел 1'!H118</f>
        <v>6287700</v>
      </c>
      <c r="J7" s="13"/>
    </row>
    <row r="8" spans="1:24" ht="118.95" customHeight="1" x14ac:dyDescent="0.25">
      <c r="A8" s="212" t="s">
        <v>179</v>
      </c>
      <c r="B8" s="213" t="s">
        <v>181</v>
      </c>
      <c r="C8" s="214" t="s">
        <v>180</v>
      </c>
      <c r="D8" s="215" t="s">
        <v>35</v>
      </c>
      <c r="E8" s="215"/>
      <c r="F8" s="215"/>
      <c r="G8" s="216"/>
      <c r="H8" s="216"/>
      <c r="I8" s="216"/>
      <c r="J8" s="216"/>
      <c r="O8" s="363"/>
    </row>
    <row r="9" spans="1:24" ht="31.95" customHeight="1" x14ac:dyDescent="0.2">
      <c r="A9" s="212" t="s">
        <v>182</v>
      </c>
      <c r="B9" s="213" t="s">
        <v>184</v>
      </c>
      <c r="C9" s="214" t="s">
        <v>183</v>
      </c>
      <c r="D9" s="215" t="s">
        <v>35</v>
      </c>
      <c r="E9" s="215"/>
      <c r="F9" s="215"/>
      <c r="G9" s="216"/>
      <c r="H9" s="216"/>
      <c r="I9" s="216"/>
      <c r="J9" s="216"/>
    </row>
    <row r="10" spans="1:24" ht="36" customHeight="1" x14ac:dyDescent="0.2">
      <c r="A10" s="217" t="s">
        <v>185</v>
      </c>
      <c r="B10" s="218" t="s">
        <v>189</v>
      </c>
      <c r="C10" s="219" t="s">
        <v>187</v>
      </c>
      <c r="D10" s="186" t="s">
        <v>35</v>
      </c>
      <c r="E10" s="186"/>
      <c r="F10" s="186"/>
      <c r="G10" s="239">
        <v>0</v>
      </c>
      <c r="H10" s="239">
        <v>0</v>
      </c>
      <c r="I10" s="239">
        <v>0</v>
      </c>
      <c r="J10" s="239"/>
      <c r="N10" s="263">
        <f>G10+G15</f>
        <v>9048827.2800000012</v>
      </c>
      <c r="O10" s="263">
        <f>H10+H15</f>
        <v>6386500</v>
      </c>
      <c r="P10" s="263">
        <f>I10+I15</f>
        <v>6287700</v>
      </c>
      <c r="Q10" s="329"/>
      <c r="R10" s="44"/>
      <c r="S10" s="44"/>
      <c r="T10" s="44"/>
      <c r="U10" s="44"/>
      <c r="V10" s="44"/>
      <c r="W10" s="44"/>
      <c r="X10" s="44"/>
    </row>
    <row r="11" spans="1:24" ht="36" customHeight="1" x14ac:dyDescent="0.2">
      <c r="A11" s="217" t="s">
        <v>531</v>
      </c>
      <c r="B11" s="218" t="s">
        <v>533</v>
      </c>
      <c r="C11" s="219" t="s">
        <v>528</v>
      </c>
      <c r="D11" s="186"/>
      <c r="E11" s="186"/>
      <c r="F11" s="186"/>
      <c r="G11" s="239">
        <v>0</v>
      </c>
      <c r="H11" s="239">
        <v>0</v>
      </c>
      <c r="I11" s="239">
        <v>0</v>
      </c>
      <c r="J11" s="239"/>
      <c r="N11" s="263"/>
      <c r="O11" s="263"/>
      <c r="P11" s="263"/>
      <c r="Q11" s="329"/>
      <c r="R11" s="44"/>
      <c r="S11" s="44"/>
      <c r="T11" s="44"/>
      <c r="U11" s="44"/>
      <c r="V11" s="44"/>
      <c r="W11" s="44"/>
      <c r="X11" s="44"/>
    </row>
    <row r="12" spans="1:24" ht="36" customHeight="1" x14ac:dyDescent="0.2">
      <c r="A12" s="217"/>
      <c r="B12" s="218" t="s">
        <v>534</v>
      </c>
      <c r="C12" s="219" t="s">
        <v>529</v>
      </c>
      <c r="D12" s="186"/>
      <c r="E12" s="186"/>
      <c r="F12" s="186"/>
      <c r="G12" s="239"/>
      <c r="H12" s="239"/>
      <c r="I12" s="239"/>
      <c r="J12" s="239"/>
      <c r="N12" s="263"/>
      <c r="O12" s="263"/>
      <c r="P12" s="263"/>
      <c r="Q12" s="329"/>
      <c r="R12" s="44"/>
      <c r="S12" s="44"/>
      <c r="T12" s="44"/>
      <c r="U12" s="44"/>
      <c r="V12" s="44"/>
      <c r="W12" s="44"/>
      <c r="X12" s="44"/>
    </row>
    <row r="13" spans="1:24" ht="36" customHeight="1" x14ac:dyDescent="0.2">
      <c r="A13" s="217"/>
      <c r="B13" s="218" t="s">
        <v>585</v>
      </c>
      <c r="C13" s="219" t="s">
        <v>586</v>
      </c>
      <c r="D13" s="186"/>
      <c r="E13" s="186"/>
      <c r="F13" s="186"/>
      <c r="G13" s="239"/>
      <c r="H13" s="239"/>
      <c r="I13" s="239"/>
      <c r="J13" s="239"/>
      <c r="N13" s="263"/>
      <c r="O13" s="263"/>
      <c r="P13" s="263"/>
      <c r="Q13" s="329"/>
      <c r="R13" s="44"/>
      <c r="S13" s="44"/>
      <c r="T13" s="44"/>
      <c r="U13" s="44"/>
      <c r="V13" s="44"/>
      <c r="W13" s="44"/>
      <c r="X13" s="44"/>
    </row>
    <row r="14" spans="1:24" ht="36" customHeight="1" x14ac:dyDescent="0.2">
      <c r="A14" s="217" t="s">
        <v>532</v>
      </c>
      <c r="B14" s="218" t="s">
        <v>535</v>
      </c>
      <c r="C14" s="219" t="s">
        <v>530</v>
      </c>
      <c r="D14" s="186"/>
      <c r="E14" s="186"/>
      <c r="F14" s="186"/>
      <c r="G14" s="239"/>
      <c r="H14" s="239"/>
      <c r="I14" s="239"/>
      <c r="J14" s="239"/>
      <c r="N14" s="263"/>
      <c r="O14" s="263"/>
      <c r="P14" s="263"/>
      <c r="Q14" s="329"/>
      <c r="R14" s="44"/>
      <c r="S14" s="44"/>
      <c r="T14" s="44"/>
      <c r="U14" s="44"/>
      <c r="V14" s="44"/>
      <c r="W14" s="44"/>
      <c r="X14" s="44"/>
    </row>
    <row r="15" spans="1:24" ht="36" customHeight="1" x14ac:dyDescent="0.2">
      <c r="A15" s="217" t="s">
        <v>186</v>
      </c>
      <c r="B15" s="218" t="s">
        <v>190</v>
      </c>
      <c r="C15" s="219" t="s">
        <v>188</v>
      </c>
      <c r="D15" s="186" t="s">
        <v>35</v>
      </c>
      <c r="E15" s="186"/>
      <c r="F15" s="186"/>
      <c r="G15" s="380">
        <f>G16+G19+G23+G26+G29</f>
        <v>9048827.2800000012</v>
      </c>
      <c r="H15" s="380">
        <f>H16+H19+H23+H26+H29</f>
        <v>6386500</v>
      </c>
      <c r="I15" s="380">
        <f>I16+I19+I23+I26+I29</f>
        <v>6287700</v>
      </c>
      <c r="J15" s="188"/>
      <c r="N15" s="265">
        <f>G7-N10</f>
        <v>0</v>
      </c>
      <c r="O15" s="265">
        <f>H7-O10</f>
        <v>0</v>
      </c>
      <c r="P15" s="265">
        <f>I7-P10</f>
        <v>0</v>
      </c>
      <c r="Q15" s="265">
        <f>J7-Q10</f>
        <v>0</v>
      </c>
    </row>
    <row r="16" spans="1:24" ht="33.6" customHeight="1" x14ac:dyDescent="0.2">
      <c r="A16" s="217" t="s">
        <v>191</v>
      </c>
      <c r="B16" s="220" t="s">
        <v>193</v>
      </c>
      <c r="C16" s="219" t="s">
        <v>192</v>
      </c>
      <c r="D16" s="186" t="s">
        <v>35</v>
      </c>
      <c r="E16" s="186"/>
      <c r="F16" s="186"/>
      <c r="G16" s="253">
        <f>G17</f>
        <v>6419498.6900000004</v>
      </c>
      <c r="H16" s="253">
        <f>H17</f>
        <v>6154100</v>
      </c>
      <c r="I16" s="253">
        <f>I17</f>
        <v>6055300</v>
      </c>
      <c r="J16" s="188">
        <f>J17</f>
        <v>0</v>
      </c>
    </row>
    <row r="17" spans="1:16" ht="22.95" customHeight="1" x14ac:dyDescent="0.2">
      <c r="A17" s="217" t="s">
        <v>194</v>
      </c>
      <c r="B17" s="221" t="s">
        <v>195</v>
      </c>
      <c r="C17" s="219" t="s">
        <v>196</v>
      </c>
      <c r="D17" s="186" t="s">
        <v>35</v>
      </c>
      <c r="E17" s="186"/>
      <c r="F17" s="186"/>
      <c r="G17" s="252">
        <f>6419498.69</f>
        <v>6419498.6900000004</v>
      </c>
      <c r="H17" s="354">
        <f>6154100</f>
        <v>6154100</v>
      </c>
      <c r="I17" s="354">
        <f>6055300</f>
        <v>6055300</v>
      </c>
      <c r="J17" s="354"/>
      <c r="N17" s="1" t="s">
        <v>501</v>
      </c>
    </row>
    <row r="18" spans="1:16" ht="12.75" customHeight="1" x14ac:dyDescent="0.2">
      <c r="A18" s="202" t="s">
        <v>197</v>
      </c>
      <c r="B18" s="197" t="s">
        <v>198</v>
      </c>
      <c r="C18" s="203" t="s">
        <v>199</v>
      </c>
      <c r="D18" s="204" t="s">
        <v>35</v>
      </c>
      <c r="E18" s="204"/>
      <c r="F18" s="204"/>
      <c r="G18" s="205"/>
      <c r="H18" s="205"/>
      <c r="I18" s="205"/>
      <c r="J18" s="205"/>
    </row>
    <row r="19" spans="1:16" ht="23.25" customHeight="1" x14ac:dyDescent="0.2">
      <c r="A19" s="217" t="s">
        <v>200</v>
      </c>
      <c r="B19" s="220" t="s">
        <v>201</v>
      </c>
      <c r="C19" s="219" t="s">
        <v>202</v>
      </c>
      <c r="D19" s="186" t="s">
        <v>35</v>
      </c>
      <c r="E19" s="186"/>
      <c r="F19" s="186"/>
      <c r="G19" s="253">
        <f>G20</f>
        <v>1315789.47</v>
      </c>
      <c r="H19" s="188">
        <f>H20</f>
        <v>0</v>
      </c>
      <c r="I19" s="188">
        <f>I20</f>
        <v>0</v>
      </c>
      <c r="J19" s="188">
        <f>J20</f>
        <v>0</v>
      </c>
    </row>
    <row r="20" spans="1:16" ht="24" customHeight="1" x14ac:dyDescent="0.2">
      <c r="A20" s="217" t="s">
        <v>203</v>
      </c>
      <c r="B20" s="221" t="s">
        <v>195</v>
      </c>
      <c r="C20" s="219" t="s">
        <v>204</v>
      </c>
      <c r="D20" s="186" t="s">
        <v>35</v>
      </c>
      <c r="E20" s="186"/>
      <c r="F20" s="186"/>
      <c r="G20" s="252">
        <f>1315789.47</f>
        <v>1315789.47</v>
      </c>
      <c r="H20" s="354">
        <f>'обоснование расходов'!K184+'обоснование расходов'!K185+'обоснование расходов'!K186+'обоснование расходов'!K187+'обоснование расходов'!K223+'обоснование расходов'!K233+'обоснование расходов'!K238</f>
        <v>0</v>
      </c>
      <c r="I20" s="354">
        <f>'обоснование расходов'!L184+'обоснование расходов'!L185+'обоснование расходов'!L186+'обоснование расходов'!L187+'обоснование расходов'!L223+'обоснование расходов'!L233+'обоснование расходов'!L238</f>
        <v>0</v>
      </c>
      <c r="J20" s="17"/>
      <c r="N20" s="1" t="s">
        <v>502</v>
      </c>
    </row>
    <row r="21" spans="1:16" ht="24" customHeight="1" x14ac:dyDescent="0.2">
      <c r="A21" s="217"/>
      <c r="B21" s="221" t="s">
        <v>534</v>
      </c>
      <c r="C21" s="219" t="s">
        <v>536</v>
      </c>
      <c r="D21" s="186"/>
      <c r="E21" s="186"/>
      <c r="F21" s="186"/>
      <c r="G21" s="252"/>
      <c r="H21" s="354"/>
      <c r="I21" s="354"/>
      <c r="J21" s="17"/>
    </row>
    <row r="22" spans="1:16" ht="12.75" customHeight="1" x14ac:dyDescent="0.2">
      <c r="A22" s="202" t="s">
        <v>205</v>
      </c>
      <c r="B22" s="197" t="s">
        <v>198</v>
      </c>
      <c r="C22" s="203" t="s">
        <v>206</v>
      </c>
      <c r="D22" s="204" t="s">
        <v>35</v>
      </c>
      <c r="E22" s="204"/>
      <c r="F22" s="204"/>
      <c r="G22" s="205"/>
      <c r="H22" s="205"/>
      <c r="I22" s="205"/>
      <c r="J22" s="205"/>
    </row>
    <row r="23" spans="1:16" ht="21.75" customHeight="1" x14ac:dyDescent="0.2">
      <c r="A23" s="202" t="s">
        <v>207</v>
      </c>
      <c r="B23" s="198" t="s">
        <v>208</v>
      </c>
      <c r="C23" s="203" t="s">
        <v>209</v>
      </c>
      <c r="D23" s="204" t="s">
        <v>35</v>
      </c>
      <c r="E23" s="204"/>
      <c r="F23" s="204"/>
      <c r="G23" s="205"/>
      <c r="H23" s="205"/>
      <c r="I23" s="205"/>
      <c r="J23" s="205"/>
    </row>
    <row r="24" spans="1:16" ht="12.75" customHeight="1" x14ac:dyDescent="0.2">
      <c r="A24" s="202"/>
      <c r="B24" s="198" t="s">
        <v>534</v>
      </c>
      <c r="C24" s="203" t="s">
        <v>537</v>
      </c>
      <c r="D24" s="204"/>
      <c r="E24" s="204"/>
      <c r="F24" s="204"/>
      <c r="G24" s="205"/>
      <c r="H24" s="205"/>
      <c r="I24" s="205"/>
      <c r="J24" s="205"/>
    </row>
    <row r="25" spans="1:16" ht="12.75" customHeight="1" x14ac:dyDescent="0.2">
      <c r="A25" s="202"/>
      <c r="B25" s="198" t="s">
        <v>585</v>
      </c>
      <c r="C25" s="203" t="s">
        <v>587</v>
      </c>
      <c r="D25" s="204"/>
      <c r="E25" s="204"/>
      <c r="F25" s="204"/>
      <c r="G25" s="205"/>
      <c r="H25" s="205"/>
      <c r="I25" s="205"/>
      <c r="J25" s="205"/>
    </row>
    <row r="26" spans="1:16" ht="11.25" customHeight="1" x14ac:dyDescent="0.2">
      <c r="A26" s="202" t="s">
        <v>210</v>
      </c>
      <c r="B26" s="198" t="s">
        <v>211</v>
      </c>
      <c r="C26" s="203" t="s">
        <v>212</v>
      </c>
      <c r="D26" s="204" t="s">
        <v>35</v>
      </c>
      <c r="E26" s="204"/>
      <c r="F26" s="204"/>
      <c r="G26" s="205"/>
      <c r="H26" s="205"/>
      <c r="I26" s="205"/>
      <c r="J26" s="205"/>
    </row>
    <row r="27" spans="1:16" ht="24" customHeight="1" x14ac:dyDescent="0.2">
      <c r="A27" s="202" t="s">
        <v>213</v>
      </c>
      <c r="B27" s="197" t="s">
        <v>195</v>
      </c>
      <c r="C27" s="203" t="s">
        <v>214</v>
      </c>
      <c r="D27" s="204" t="s">
        <v>35</v>
      </c>
      <c r="E27" s="204"/>
      <c r="F27" s="204"/>
      <c r="G27" s="205"/>
      <c r="H27" s="205"/>
      <c r="I27" s="205"/>
      <c r="J27" s="205"/>
    </row>
    <row r="28" spans="1:16" ht="12.75" customHeight="1" x14ac:dyDescent="0.2">
      <c r="A28" s="202" t="s">
        <v>215</v>
      </c>
      <c r="B28" s="197" t="s">
        <v>198</v>
      </c>
      <c r="C28" s="203" t="s">
        <v>216</v>
      </c>
      <c r="D28" s="204" t="s">
        <v>35</v>
      </c>
      <c r="E28" s="204"/>
      <c r="F28" s="204"/>
      <c r="G28" s="205"/>
      <c r="H28" s="205"/>
      <c r="I28" s="205"/>
      <c r="J28" s="205"/>
    </row>
    <row r="29" spans="1:16" ht="12" customHeight="1" thickBot="1" x14ac:dyDescent="0.25">
      <c r="A29" s="217" t="s">
        <v>217</v>
      </c>
      <c r="B29" s="220" t="s">
        <v>218</v>
      </c>
      <c r="C29" s="222" t="s">
        <v>219</v>
      </c>
      <c r="D29" s="223" t="s">
        <v>35</v>
      </c>
      <c r="E29" s="223"/>
      <c r="F29" s="223"/>
      <c r="G29" s="250">
        <f>G30</f>
        <v>1313539.1200000001</v>
      </c>
      <c r="H29" s="250">
        <f>H30</f>
        <v>232400</v>
      </c>
      <c r="I29" s="250">
        <f>I30</f>
        <v>232400</v>
      </c>
      <c r="J29" s="250">
        <f>J30</f>
        <v>0</v>
      </c>
    </row>
    <row r="30" spans="1:16" ht="24" customHeight="1" x14ac:dyDescent="0.2">
      <c r="A30" s="217" t="s">
        <v>220</v>
      </c>
      <c r="B30" s="221" t="s">
        <v>195</v>
      </c>
      <c r="C30" s="224" t="s">
        <v>221</v>
      </c>
      <c r="D30" s="225" t="s">
        <v>35</v>
      </c>
      <c r="E30" s="225"/>
      <c r="F30" s="225"/>
      <c r="G30" s="249">
        <f>1313539.12</f>
        <v>1313539.1200000001</v>
      </c>
      <c r="H30" s="251">
        <f>232400</f>
        <v>232400</v>
      </c>
      <c r="I30" s="251">
        <f>232400</f>
        <v>232400</v>
      </c>
      <c r="J30" s="251"/>
      <c r="N30" s="1" t="s">
        <v>503</v>
      </c>
      <c r="P30" s="330"/>
    </row>
    <row r="31" spans="1:16" ht="24" customHeight="1" x14ac:dyDescent="0.2">
      <c r="A31" s="217"/>
      <c r="B31" s="221" t="s">
        <v>534</v>
      </c>
      <c r="C31" s="366" t="s">
        <v>538</v>
      </c>
      <c r="D31" s="367"/>
      <c r="E31" s="367"/>
      <c r="F31" s="367"/>
      <c r="G31" s="368"/>
      <c r="H31" s="369"/>
      <c r="I31" s="369"/>
      <c r="J31" s="369"/>
      <c r="P31" s="330"/>
    </row>
    <row r="32" spans="1:16" ht="24" customHeight="1" x14ac:dyDescent="0.2">
      <c r="A32" s="217"/>
      <c r="B32" s="221" t="s">
        <v>585</v>
      </c>
      <c r="C32" s="366" t="s">
        <v>588</v>
      </c>
      <c r="D32" s="367"/>
      <c r="E32" s="367"/>
      <c r="F32" s="367"/>
      <c r="G32" s="368"/>
      <c r="H32" s="369"/>
      <c r="I32" s="369"/>
      <c r="J32" s="369"/>
      <c r="P32" s="330"/>
    </row>
    <row r="33" spans="1:10" ht="11.25" customHeight="1" x14ac:dyDescent="0.2">
      <c r="A33" s="202" t="s">
        <v>222</v>
      </c>
      <c r="B33" s="197" t="s">
        <v>223</v>
      </c>
      <c r="C33" s="203" t="s">
        <v>224</v>
      </c>
      <c r="D33" s="204" t="s">
        <v>35</v>
      </c>
      <c r="E33" s="204"/>
      <c r="F33" s="204"/>
      <c r="G33" s="205"/>
      <c r="H33" s="205"/>
      <c r="I33" s="205"/>
      <c r="J33" s="205"/>
    </row>
    <row r="34" spans="1:10" ht="38.25" customHeight="1" x14ac:dyDescent="0.2">
      <c r="A34" s="34" t="s">
        <v>10</v>
      </c>
      <c r="B34" s="38" t="s">
        <v>225</v>
      </c>
      <c r="C34" s="14" t="s">
        <v>226</v>
      </c>
      <c r="D34" s="16" t="s">
        <v>35</v>
      </c>
      <c r="E34" s="16"/>
      <c r="F34" s="16"/>
      <c r="G34" s="252">
        <f>G16+G19+G29</f>
        <v>9048827.2800000012</v>
      </c>
      <c r="H34" s="252">
        <f>H16+H19+H29</f>
        <v>6386500</v>
      </c>
      <c r="I34" s="252">
        <f>I16+I19+I29</f>
        <v>6287700</v>
      </c>
      <c r="J34" s="17"/>
    </row>
    <row r="35" spans="1:10" ht="11.25" customHeight="1" x14ac:dyDescent="0.2">
      <c r="A35" s="489"/>
      <c r="B35" s="40" t="s">
        <v>227</v>
      </c>
      <c r="C35" s="443" t="s">
        <v>228</v>
      </c>
      <c r="D35" s="439"/>
      <c r="E35" s="19"/>
      <c r="F35" s="19"/>
      <c r="G35" s="473">
        <f>G34</f>
        <v>9048827.2800000012</v>
      </c>
      <c r="H35" s="473">
        <f>H34</f>
        <v>6386500</v>
      </c>
      <c r="I35" s="473">
        <f>I34</f>
        <v>6287700</v>
      </c>
      <c r="J35" s="435"/>
    </row>
    <row r="36" spans="1:10" x14ac:dyDescent="0.2">
      <c r="A36" s="490"/>
      <c r="B36" s="39"/>
      <c r="C36" s="444"/>
      <c r="D36" s="440"/>
      <c r="E36" s="20"/>
      <c r="F36" s="20"/>
      <c r="G36" s="474"/>
      <c r="H36" s="474"/>
      <c r="I36" s="474"/>
      <c r="J36" s="436"/>
    </row>
    <row r="37" spans="1:10" ht="34.5" customHeight="1" x14ac:dyDescent="0.2">
      <c r="A37" s="202" t="s">
        <v>11</v>
      </c>
      <c r="B37" s="199" t="s">
        <v>229</v>
      </c>
      <c r="C37" s="203" t="s">
        <v>230</v>
      </c>
      <c r="D37" s="204" t="s">
        <v>35</v>
      </c>
      <c r="E37" s="204"/>
      <c r="F37" s="204"/>
      <c r="G37" s="205"/>
      <c r="H37" s="205"/>
      <c r="I37" s="205"/>
      <c r="J37" s="205"/>
    </row>
    <row r="38" spans="1:10" ht="11.25" customHeight="1" x14ac:dyDescent="0.2">
      <c r="A38" s="482"/>
      <c r="B38" s="200" t="s">
        <v>227</v>
      </c>
      <c r="C38" s="493" t="s">
        <v>231</v>
      </c>
      <c r="D38" s="491"/>
      <c r="E38" s="361"/>
      <c r="F38" s="399"/>
      <c r="G38" s="479"/>
      <c r="H38" s="479"/>
      <c r="I38" s="479"/>
      <c r="J38" s="479"/>
    </row>
    <row r="39" spans="1:10" ht="10.8" thickBot="1" x14ac:dyDescent="0.25">
      <c r="A39" s="483"/>
      <c r="B39" s="201"/>
      <c r="C39" s="494"/>
      <c r="D39" s="492"/>
      <c r="E39" s="362"/>
      <c r="F39" s="400"/>
      <c r="G39" s="480"/>
      <c r="H39" s="480"/>
      <c r="I39" s="480"/>
      <c r="J39" s="480"/>
    </row>
    <row r="40" spans="1:10" ht="25.5" customHeight="1" x14ac:dyDescent="0.2">
      <c r="A40" s="408" t="s">
        <v>583</v>
      </c>
      <c r="B40" s="410"/>
      <c r="C40" s="408"/>
      <c r="D40" s="408"/>
      <c r="E40" s="408"/>
      <c r="F40" s="408"/>
      <c r="G40" s="409"/>
      <c r="H40" s="409"/>
      <c r="I40" s="409"/>
      <c r="J40" s="409"/>
    </row>
    <row r="42" spans="1:10" x14ac:dyDescent="0.2">
      <c r="B42" s="1" t="s">
        <v>232</v>
      </c>
    </row>
    <row r="43" spans="1:10" x14ac:dyDescent="0.2">
      <c r="B43" s="1" t="s">
        <v>233</v>
      </c>
      <c r="C43" s="32" t="s">
        <v>256</v>
      </c>
      <c r="G43" s="32"/>
      <c r="I43" s="48" t="s">
        <v>470</v>
      </c>
      <c r="J43" s="48"/>
    </row>
    <row r="44" spans="1:10" s="4" customFormat="1" ht="7.8" x14ac:dyDescent="0.15">
      <c r="C44" s="7" t="s">
        <v>234</v>
      </c>
      <c r="G44" s="7" t="s">
        <v>19</v>
      </c>
      <c r="I44" s="4" t="s">
        <v>20</v>
      </c>
    </row>
    <row r="45" spans="1:10" s="4" customFormat="1" ht="3" customHeight="1" x14ac:dyDescent="0.15">
      <c r="C45" s="7"/>
      <c r="G45" s="7"/>
    </row>
    <row r="46" spans="1:10" x14ac:dyDescent="0.2">
      <c r="B46" s="1" t="s">
        <v>235</v>
      </c>
      <c r="C46" s="32"/>
      <c r="G46" s="32"/>
      <c r="I46" s="48"/>
      <c r="J46" s="48"/>
    </row>
    <row r="47" spans="1:10" s="4" customFormat="1" ht="7.8" x14ac:dyDescent="0.15">
      <c r="C47" s="7" t="s">
        <v>234</v>
      </c>
      <c r="G47" s="7" t="s">
        <v>19</v>
      </c>
      <c r="I47" s="4" t="s">
        <v>20</v>
      </c>
    </row>
    <row r="48" spans="1:10" s="4" customFormat="1" ht="3" customHeight="1" x14ac:dyDescent="0.15">
      <c r="C48" s="7"/>
    </row>
    <row r="49" spans="1:10" s="3" customFormat="1" ht="12" customHeight="1" x14ac:dyDescent="0.2">
      <c r="A49" s="8" t="s">
        <v>539</v>
      </c>
    </row>
    <row r="50" spans="1:10" s="3" customFormat="1" ht="48" customHeight="1" x14ac:dyDescent="0.2">
      <c r="A50" s="487" t="s">
        <v>582</v>
      </c>
      <c r="B50" s="488"/>
      <c r="C50" s="488"/>
      <c r="D50" s="488"/>
      <c r="E50" s="488"/>
      <c r="F50" s="488"/>
      <c r="G50" s="488"/>
      <c r="H50" s="488"/>
      <c r="I50" s="488"/>
      <c r="J50" s="488"/>
    </row>
    <row r="51" spans="1:10" s="3" customFormat="1" ht="21" customHeight="1" x14ac:dyDescent="0.2">
      <c r="A51" s="419" t="s">
        <v>248</v>
      </c>
      <c r="B51" s="419"/>
      <c r="C51" s="419"/>
      <c r="D51" s="419"/>
      <c r="E51" s="419"/>
      <c r="F51" s="419"/>
      <c r="G51" s="419"/>
      <c r="H51" s="419"/>
      <c r="I51" s="419"/>
      <c r="J51" s="419"/>
    </row>
    <row r="52" spans="1:10" s="3" customFormat="1" ht="11.25" customHeight="1" x14ac:dyDescent="0.2">
      <c r="A52" s="8" t="s">
        <v>249</v>
      </c>
    </row>
    <row r="53" spans="1:10" s="3" customFormat="1" ht="11.25" customHeight="1" x14ac:dyDescent="0.2">
      <c r="A53" s="8" t="s">
        <v>250</v>
      </c>
    </row>
    <row r="54" spans="1:10" s="3" customFormat="1" ht="11.25" customHeight="1" x14ac:dyDescent="0.2">
      <c r="A54" s="8" t="s">
        <v>251</v>
      </c>
    </row>
    <row r="55" spans="1:10" s="3" customFormat="1" ht="20.25" customHeight="1" x14ac:dyDescent="0.2">
      <c r="A55" s="477" t="s">
        <v>252</v>
      </c>
      <c r="B55" s="478"/>
      <c r="C55" s="478"/>
      <c r="D55" s="478"/>
      <c r="E55" s="478"/>
      <c r="F55" s="478"/>
      <c r="G55" s="478"/>
      <c r="H55" s="478"/>
      <c r="I55" s="478"/>
      <c r="J55" s="478"/>
    </row>
    <row r="56" spans="1:10" ht="3" customHeight="1" x14ac:dyDescent="0.2"/>
    <row r="57" spans="1:10" ht="87" customHeight="1" x14ac:dyDescent="0.2">
      <c r="A57" s="471" t="s">
        <v>540</v>
      </c>
      <c r="B57" s="481"/>
      <c r="C57" s="481"/>
      <c r="D57" s="481"/>
      <c r="E57" s="481"/>
      <c r="F57" s="481"/>
      <c r="G57" s="481"/>
      <c r="H57" s="481"/>
      <c r="I57" s="481"/>
      <c r="J57" s="481"/>
    </row>
    <row r="58" spans="1:10" ht="66" customHeight="1" x14ac:dyDescent="0.2">
      <c r="A58" s="471" t="s">
        <v>589</v>
      </c>
      <c r="B58" s="472"/>
      <c r="C58" s="472"/>
      <c r="D58" s="472"/>
      <c r="E58" s="472"/>
      <c r="F58" s="472"/>
      <c r="G58" s="472"/>
      <c r="H58" s="472"/>
      <c r="I58" s="472"/>
      <c r="J58" s="472"/>
    </row>
  </sheetData>
  <mergeCells count="27">
    <mergeCell ref="A3:A5"/>
    <mergeCell ref="B3:B5"/>
    <mergeCell ref="J38:J39"/>
    <mergeCell ref="H38:H39"/>
    <mergeCell ref="A50:J50"/>
    <mergeCell ref="C35:C36"/>
    <mergeCell ref="D35:D36"/>
    <mergeCell ref="A35:A36"/>
    <mergeCell ref="D38:D39"/>
    <mergeCell ref="C38:C39"/>
    <mergeCell ref="I35:I36"/>
    <mergeCell ref="I38:I39"/>
    <mergeCell ref="J35:J36"/>
    <mergeCell ref="A57:J57"/>
    <mergeCell ref="H35:H36"/>
    <mergeCell ref="A38:A39"/>
    <mergeCell ref="G38:G39"/>
    <mergeCell ref="A58:J58"/>
    <mergeCell ref="C3:C5"/>
    <mergeCell ref="D3:D5"/>
    <mergeCell ref="G35:G36"/>
    <mergeCell ref="G3:J3"/>
    <mergeCell ref="J4:J5"/>
    <mergeCell ref="E3:E5"/>
    <mergeCell ref="F3:F5"/>
    <mergeCell ref="A55:J55"/>
    <mergeCell ref="A51:J51"/>
  </mergeCells>
  <pageMargins left="0.59055118110236227" right="0.51181102362204722" top="0.78740157480314965" bottom="0.31496062992125984" header="0.19685039370078741" footer="0.19685039370078741"/>
  <pageSetup paperSize="9" scale="65" fitToHeight="0" orientation="portrait" r:id="rId1"/>
  <headerFooter alignWithMargins="0">
    <oddHeader>&amp;L&amp;6&amp;F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1"/>
  <sheetViews>
    <sheetView view="pageBreakPreview" zoomScale="77" zoomScaleNormal="68" zoomScaleSheetLayoutView="77" workbookViewId="0">
      <selection activeCell="J241" sqref="J241"/>
    </sheetView>
  </sheetViews>
  <sheetFormatPr defaultColWidth="0.88671875" defaultRowHeight="13.2" x14ac:dyDescent="0.25"/>
  <cols>
    <col min="1" max="1" width="28.5546875" style="61" customWidth="1"/>
    <col min="2" max="2" width="8.5546875" style="61" customWidth="1"/>
    <col min="3" max="3" width="8.88671875" style="61" customWidth="1"/>
    <col min="4" max="5" width="13" style="61" customWidth="1"/>
    <col min="6" max="6" width="10.109375" style="61" customWidth="1"/>
    <col min="7" max="7" width="12" style="61" customWidth="1"/>
    <col min="8" max="8" width="14.88671875" style="61" customWidth="1"/>
    <col min="9" max="9" width="12.88671875" style="61" customWidth="1"/>
    <col min="10" max="12" width="18.88671875" style="61" customWidth="1"/>
    <col min="13" max="13" width="0.5546875" style="227" customWidth="1"/>
    <col min="14" max="14" width="1.109375" style="227" customWidth="1"/>
    <col min="15" max="17" width="19.44140625" style="167" customWidth="1"/>
    <col min="18" max="44" width="13.6640625" style="62" customWidth="1"/>
    <col min="45" max="16384" width="0.88671875" style="62"/>
  </cols>
  <sheetData>
    <row r="1" spans="1:17" s="60" customFormat="1" ht="15.75" customHeight="1" x14ac:dyDescent="0.25">
      <c r="A1" s="58"/>
      <c r="B1" s="58"/>
      <c r="C1" s="58"/>
      <c r="D1" s="58"/>
      <c r="E1" s="58"/>
      <c r="F1" s="58"/>
      <c r="G1" s="58"/>
      <c r="H1" s="59" t="s">
        <v>561</v>
      </c>
      <c r="I1" s="58"/>
      <c r="J1" s="58"/>
      <c r="K1" s="58"/>
      <c r="L1" s="58"/>
      <c r="M1" s="226"/>
      <c r="N1" s="226"/>
      <c r="O1" s="166"/>
      <c r="P1" s="166"/>
      <c r="Q1" s="166"/>
    </row>
    <row r="2" spans="1:17" s="60" customFormat="1" ht="8.25" customHeight="1" x14ac:dyDescent="0.25">
      <c r="A2" s="58"/>
      <c r="B2" s="58"/>
      <c r="C2" s="58"/>
      <c r="D2" s="58"/>
      <c r="E2" s="58"/>
      <c r="F2" s="58"/>
      <c r="G2" s="58"/>
      <c r="H2" s="59" t="s">
        <v>562</v>
      </c>
      <c r="I2" s="58"/>
      <c r="J2" s="58"/>
      <c r="K2" s="58"/>
      <c r="L2" s="58"/>
      <c r="M2" s="226"/>
      <c r="N2" s="226"/>
      <c r="O2" s="166"/>
      <c r="P2" s="166"/>
      <c r="Q2" s="166"/>
    </row>
    <row r="3" spans="1:17" s="60" customFormat="1" ht="8.25" customHeight="1" x14ac:dyDescent="0.25">
      <c r="A3" s="58"/>
      <c r="B3" s="58"/>
      <c r="C3" s="58"/>
      <c r="D3" s="58"/>
      <c r="E3" s="58"/>
      <c r="F3" s="58"/>
      <c r="G3" s="58"/>
      <c r="H3" s="59" t="s">
        <v>563</v>
      </c>
      <c r="I3" s="58"/>
      <c r="J3" s="58"/>
      <c r="K3" s="58"/>
      <c r="L3" s="58"/>
      <c r="M3" s="226"/>
      <c r="N3" s="226"/>
      <c r="O3" s="166"/>
      <c r="P3" s="166"/>
      <c r="Q3" s="166"/>
    </row>
    <row r="4" spans="1:17" s="60" customFormat="1" ht="8.25" customHeight="1" x14ac:dyDescent="0.25">
      <c r="A4" s="58"/>
      <c r="B4" s="58"/>
      <c r="C4" s="58"/>
      <c r="D4" s="58"/>
      <c r="E4" s="58"/>
      <c r="F4" s="58"/>
      <c r="G4" s="58"/>
      <c r="H4" s="59" t="s">
        <v>564</v>
      </c>
      <c r="I4" s="58"/>
      <c r="J4" s="58"/>
      <c r="K4" s="58"/>
      <c r="L4" s="58"/>
      <c r="M4" s="226"/>
      <c r="N4" s="226"/>
      <c r="O4" s="166"/>
      <c r="P4" s="166"/>
      <c r="Q4" s="166"/>
    </row>
    <row r="5" spans="1:17" s="60" customFormat="1" ht="10.5" customHeight="1" x14ac:dyDescent="0.25">
      <c r="A5" s="58"/>
      <c r="B5" s="58"/>
      <c r="C5" s="58"/>
      <c r="D5" s="58"/>
      <c r="E5" s="58"/>
      <c r="F5" s="58"/>
      <c r="G5" s="58"/>
      <c r="H5" s="59" t="s">
        <v>565</v>
      </c>
      <c r="I5" s="58"/>
      <c r="J5" s="58"/>
      <c r="K5" s="58"/>
      <c r="L5" s="58"/>
      <c r="M5" s="226"/>
      <c r="N5" s="226"/>
      <c r="O5" s="166"/>
      <c r="P5" s="166"/>
      <c r="Q5" s="166"/>
    </row>
    <row r="6" spans="1:17" ht="8.25" customHeight="1" x14ac:dyDescent="0.25">
      <c r="H6" s="59"/>
    </row>
    <row r="7" spans="1:17" ht="8.25" customHeight="1" x14ac:dyDescent="0.25">
      <c r="H7" s="59"/>
    </row>
    <row r="8" spans="1:17" ht="12.75" customHeight="1" x14ac:dyDescent="0.25">
      <c r="H8" s="59"/>
    </row>
    <row r="9" spans="1:17" ht="8.25" customHeight="1" x14ac:dyDescent="0.25">
      <c r="H9" s="59"/>
    </row>
    <row r="10" spans="1:17" s="65" customFormat="1" ht="15.6" x14ac:dyDescent="0.3">
      <c r="A10" s="63" t="s">
        <v>285</v>
      </c>
      <c r="B10" s="63"/>
      <c r="C10" s="63"/>
      <c r="D10" s="63"/>
      <c r="E10" s="63"/>
      <c r="F10" s="63"/>
      <c r="G10" s="63"/>
      <c r="H10" s="64"/>
      <c r="I10" s="63"/>
      <c r="J10" s="63"/>
      <c r="K10" s="63"/>
      <c r="L10" s="63"/>
      <c r="M10" s="228"/>
      <c r="N10" s="228"/>
      <c r="O10" s="168" t="s">
        <v>480</v>
      </c>
      <c r="P10" s="168"/>
      <c r="Q10" s="168"/>
    </row>
    <row r="11" spans="1:17" s="67" customFormat="1" ht="2.25" customHeight="1" x14ac:dyDescent="0.25">
      <c r="A11" s="66"/>
      <c r="B11" s="66"/>
      <c r="C11" s="66"/>
      <c r="D11" s="66"/>
      <c r="E11" s="66"/>
      <c r="F11" s="66"/>
      <c r="G11" s="66"/>
      <c r="H11" s="66"/>
      <c r="I11" s="66"/>
      <c r="J11" s="66"/>
      <c r="K11" s="281"/>
      <c r="L11" s="281"/>
      <c r="M11" s="229"/>
      <c r="N11" s="229"/>
      <c r="O11" s="169"/>
      <c r="P11" s="169"/>
      <c r="Q11" s="169"/>
    </row>
    <row r="12" spans="1:17" s="67" customFormat="1" ht="13.8" x14ac:dyDescent="0.25">
      <c r="A12" s="68" t="s">
        <v>286</v>
      </c>
      <c r="B12" s="68"/>
      <c r="C12" s="68"/>
      <c r="D12" s="68"/>
      <c r="E12" s="68"/>
      <c r="F12" s="68"/>
      <c r="G12" s="68"/>
      <c r="H12" s="68"/>
      <c r="I12" s="68"/>
      <c r="J12" s="68"/>
      <c r="K12" s="68"/>
      <c r="L12" s="68"/>
      <c r="M12" s="229"/>
      <c r="N12" s="229"/>
      <c r="O12" s="169"/>
      <c r="P12" s="169"/>
      <c r="Q12" s="169"/>
    </row>
    <row r="13" spans="1:17" s="67" customFormat="1" ht="4.5" customHeight="1" x14ac:dyDescent="0.25">
      <c r="A13" s="69"/>
      <c r="B13" s="70"/>
      <c r="C13" s="70"/>
      <c r="D13" s="70"/>
      <c r="E13" s="70"/>
      <c r="F13" s="70"/>
      <c r="G13" s="70"/>
      <c r="H13" s="70"/>
      <c r="I13" s="70"/>
      <c r="J13" s="71"/>
      <c r="K13" s="71"/>
      <c r="L13" s="71"/>
      <c r="M13" s="229"/>
      <c r="N13" s="229"/>
      <c r="O13" s="169"/>
      <c r="P13" s="169"/>
      <c r="Q13" s="169"/>
    </row>
    <row r="14" spans="1:17" s="73" customFormat="1" ht="13.8" x14ac:dyDescent="0.25">
      <c r="A14" s="69" t="s">
        <v>287</v>
      </c>
      <c r="B14" s="72" t="s">
        <v>73</v>
      </c>
      <c r="C14" s="72"/>
      <c r="D14" s="72"/>
      <c r="E14" s="72"/>
      <c r="F14" s="72"/>
      <c r="G14" s="72"/>
      <c r="H14" s="72"/>
      <c r="I14" s="72"/>
      <c r="J14" s="72"/>
      <c r="K14" s="72"/>
      <c r="L14" s="72"/>
      <c r="M14" s="230"/>
      <c r="N14" s="230"/>
      <c r="O14" s="170"/>
      <c r="P14" s="170"/>
      <c r="Q14" s="170"/>
    </row>
    <row r="15" spans="1:17" s="74" customFormat="1" ht="5.25" customHeight="1" x14ac:dyDescent="0.25">
      <c r="A15" s="71"/>
      <c r="B15" s="71"/>
      <c r="C15" s="71"/>
      <c r="D15" s="71"/>
      <c r="E15" s="71"/>
      <c r="F15" s="71"/>
      <c r="G15" s="71"/>
      <c r="H15" s="71"/>
      <c r="I15" s="71"/>
      <c r="J15" s="71"/>
      <c r="K15" s="71"/>
      <c r="L15" s="71"/>
      <c r="M15" s="231"/>
      <c r="N15" s="231"/>
      <c r="O15" s="171"/>
      <c r="P15" s="171"/>
      <c r="Q15" s="171"/>
    </row>
    <row r="16" spans="1:17" s="73" customFormat="1" ht="13.8" x14ac:dyDescent="0.25">
      <c r="A16" s="69" t="s">
        <v>288</v>
      </c>
      <c r="B16" s="69"/>
      <c r="C16" s="69"/>
      <c r="D16" s="69"/>
      <c r="E16" s="75" t="s">
        <v>289</v>
      </c>
      <c r="F16" s="75"/>
      <c r="G16" s="75"/>
      <c r="H16" s="75"/>
      <c r="I16" s="75"/>
      <c r="J16" s="75"/>
      <c r="K16" s="75"/>
      <c r="L16" s="75"/>
      <c r="M16" s="230"/>
      <c r="N16" s="230"/>
      <c r="O16" s="170"/>
      <c r="P16" s="170"/>
      <c r="Q16" s="170"/>
    </row>
    <row r="17" spans="1:17" s="74" customFormat="1" ht="5.25" customHeight="1" x14ac:dyDescent="0.25">
      <c r="A17" s="71"/>
      <c r="B17" s="71"/>
      <c r="C17" s="71"/>
      <c r="D17" s="71"/>
      <c r="E17" s="71"/>
      <c r="F17" s="71"/>
      <c r="G17" s="71"/>
      <c r="H17" s="71"/>
      <c r="I17" s="71"/>
      <c r="J17" s="71"/>
      <c r="K17" s="71"/>
      <c r="L17" s="71"/>
      <c r="M17" s="231"/>
      <c r="N17" s="231"/>
      <c r="O17" s="171"/>
      <c r="P17" s="171"/>
      <c r="Q17" s="171"/>
    </row>
    <row r="18" spans="1:17" s="73" customFormat="1" ht="13.8" x14ac:dyDescent="0.25">
      <c r="A18" s="68" t="s">
        <v>403</v>
      </c>
      <c r="B18" s="68"/>
      <c r="C18" s="68"/>
      <c r="D18" s="68"/>
      <c r="E18" s="68"/>
      <c r="F18" s="68"/>
      <c r="G18" s="68"/>
      <c r="H18" s="68"/>
      <c r="I18" s="68"/>
      <c r="J18" s="68"/>
      <c r="K18" s="68"/>
      <c r="L18" s="68"/>
      <c r="M18" s="230"/>
      <c r="N18" s="230"/>
      <c r="O18" s="170"/>
      <c r="P18" s="170"/>
      <c r="Q18" s="170"/>
    </row>
    <row r="19" spans="1:17" s="74" customFormat="1" ht="16.5" customHeight="1" thickBot="1" x14ac:dyDescent="0.3">
      <c r="A19" s="71"/>
      <c r="B19" s="71"/>
      <c r="C19" s="71"/>
      <c r="D19" s="71"/>
      <c r="E19" s="71"/>
      <c r="F19" s="71"/>
      <c r="G19" s="71"/>
      <c r="H19" s="71"/>
      <c r="I19" s="71"/>
      <c r="J19" s="281" t="s">
        <v>455</v>
      </c>
      <c r="K19" s="281" t="s">
        <v>544</v>
      </c>
      <c r="L19" s="281" t="s">
        <v>593</v>
      </c>
      <c r="M19" s="231"/>
      <c r="N19" s="231"/>
      <c r="O19" s="171"/>
      <c r="P19" s="171"/>
      <c r="Q19" s="171"/>
    </row>
    <row r="20" spans="1:17" s="67" customFormat="1" ht="36.6" customHeight="1" x14ac:dyDescent="0.25">
      <c r="A20" s="609" t="s">
        <v>290</v>
      </c>
      <c r="B20" s="606" t="s">
        <v>291</v>
      </c>
      <c r="C20" s="606" t="s">
        <v>292</v>
      </c>
      <c r="D20" s="614" t="s">
        <v>293</v>
      </c>
      <c r="E20" s="615"/>
      <c r="F20" s="615"/>
      <c r="G20" s="615"/>
      <c r="H20" s="606" t="s">
        <v>294</v>
      </c>
      <c r="I20" s="606" t="s">
        <v>295</v>
      </c>
      <c r="J20" s="606" t="s">
        <v>296</v>
      </c>
      <c r="K20" s="606" t="s">
        <v>296</v>
      </c>
      <c r="L20" s="606" t="s">
        <v>296</v>
      </c>
      <c r="M20" s="229"/>
      <c r="N20" s="229"/>
      <c r="O20" s="169"/>
      <c r="P20" s="169"/>
      <c r="Q20" s="169"/>
    </row>
    <row r="21" spans="1:17" s="67" customFormat="1" ht="14.25" customHeight="1" x14ac:dyDescent="0.25">
      <c r="A21" s="610"/>
      <c r="B21" s="612"/>
      <c r="C21" s="612"/>
      <c r="D21" s="616" t="s">
        <v>297</v>
      </c>
      <c r="E21" s="617" t="s">
        <v>43</v>
      </c>
      <c r="F21" s="618"/>
      <c r="G21" s="618"/>
      <c r="H21" s="607"/>
      <c r="I21" s="607"/>
      <c r="J21" s="607"/>
      <c r="K21" s="607"/>
      <c r="L21" s="607"/>
      <c r="M21" s="229"/>
      <c r="N21" s="229"/>
      <c r="O21" s="169"/>
      <c r="P21" s="169"/>
      <c r="Q21" s="169"/>
    </row>
    <row r="22" spans="1:17" s="67" customFormat="1" ht="91.5" customHeight="1" thickBot="1" x14ac:dyDescent="0.3">
      <c r="A22" s="611"/>
      <c r="B22" s="613"/>
      <c r="C22" s="613"/>
      <c r="D22" s="613"/>
      <c r="E22" s="76" t="s">
        <v>298</v>
      </c>
      <c r="F22" s="77" t="s">
        <v>299</v>
      </c>
      <c r="G22" s="78" t="s">
        <v>300</v>
      </c>
      <c r="H22" s="608"/>
      <c r="I22" s="608"/>
      <c r="J22" s="608"/>
      <c r="K22" s="608"/>
      <c r="L22" s="608"/>
      <c r="M22" s="229"/>
      <c r="N22" s="229"/>
      <c r="O22" s="169"/>
      <c r="P22" s="169"/>
      <c r="Q22" s="169"/>
    </row>
    <row r="23" spans="1:17" s="85" customFormat="1" x14ac:dyDescent="0.25">
      <c r="A23" s="79">
        <v>1</v>
      </c>
      <c r="B23" s="80">
        <v>2</v>
      </c>
      <c r="C23" s="80">
        <v>3</v>
      </c>
      <c r="D23" s="81">
        <v>4</v>
      </c>
      <c r="E23" s="82">
        <v>5</v>
      </c>
      <c r="F23" s="83">
        <v>6</v>
      </c>
      <c r="G23" s="84">
        <v>7</v>
      </c>
      <c r="H23" s="84" t="s">
        <v>301</v>
      </c>
      <c r="I23" s="84">
        <v>9</v>
      </c>
      <c r="J23" s="84" t="s">
        <v>302</v>
      </c>
      <c r="K23" s="279" t="s">
        <v>302</v>
      </c>
      <c r="L23" s="279" t="s">
        <v>302</v>
      </c>
      <c r="M23" s="232"/>
      <c r="N23" s="232"/>
      <c r="O23" s="172"/>
      <c r="P23" s="172"/>
      <c r="Q23" s="172"/>
    </row>
    <row r="24" spans="1:17" s="67" customFormat="1" ht="23.25" customHeight="1" x14ac:dyDescent="0.25">
      <c r="A24" s="86" t="s">
        <v>256</v>
      </c>
      <c r="B24" s="413">
        <v>1</v>
      </c>
      <c r="C24" s="413">
        <v>1</v>
      </c>
      <c r="D24" s="237">
        <f>E24+G24</f>
        <v>41439</v>
      </c>
      <c r="E24" s="88">
        <v>27626</v>
      </c>
      <c r="F24" s="89"/>
      <c r="G24" s="90">
        <v>13813</v>
      </c>
      <c r="H24" s="314">
        <f>C24*D24*12</f>
        <v>497268</v>
      </c>
      <c r="I24" s="90"/>
      <c r="J24" s="90">
        <f>H24+I24</f>
        <v>497268</v>
      </c>
      <c r="K24" s="384">
        <f>I24+J24</f>
        <v>497268</v>
      </c>
      <c r="L24" s="384">
        <f>K24</f>
        <v>497268</v>
      </c>
      <c r="M24" s="229"/>
      <c r="N24" s="229"/>
      <c r="O24" s="169"/>
      <c r="P24" s="169"/>
      <c r="Q24" s="169"/>
    </row>
    <row r="25" spans="1:17" s="67" customFormat="1" ht="23.25" customHeight="1" x14ac:dyDescent="0.25">
      <c r="A25" s="86" t="s">
        <v>303</v>
      </c>
      <c r="B25" s="413">
        <v>5</v>
      </c>
      <c r="C25" s="413">
        <v>5</v>
      </c>
      <c r="D25" s="237">
        <f t="shared" ref="D25:D32" si="0">E25+G25</f>
        <v>32165.600000000002</v>
      </c>
      <c r="E25" s="88">
        <v>21540.400000000001</v>
      </c>
      <c r="F25" s="89"/>
      <c r="G25" s="90">
        <v>10625.2</v>
      </c>
      <c r="H25" s="314">
        <f t="shared" ref="H25:H32" si="1">C25*D25*12</f>
        <v>1929936</v>
      </c>
      <c r="I25" s="90"/>
      <c r="J25" s="384">
        <f t="shared" ref="J25:J32" si="2">H25+I25</f>
        <v>1929936</v>
      </c>
      <c r="K25" s="384">
        <f>I25+J25</f>
        <v>1929936</v>
      </c>
      <c r="L25" s="414">
        <f t="shared" ref="L25:L32" si="3">K25</f>
        <v>1929936</v>
      </c>
      <c r="M25" s="229"/>
      <c r="N25" s="229"/>
      <c r="O25" s="169"/>
      <c r="P25" s="169"/>
      <c r="Q25" s="169"/>
    </row>
    <row r="26" spans="1:17" s="67" customFormat="1" ht="23.25" customHeight="1" x14ac:dyDescent="0.25">
      <c r="A26" s="86" t="s">
        <v>304</v>
      </c>
      <c r="B26" s="413">
        <v>131.13999999999999</v>
      </c>
      <c r="C26" s="413">
        <v>69</v>
      </c>
      <c r="D26" s="237">
        <f t="shared" si="0"/>
        <v>22987.260000000002</v>
      </c>
      <c r="E26" s="88">
        <v>7550</v>
      </c>
      <c r="F26" s="89"/>
      <c r="G26" s="90">
        <f>34.53+15402.73</f>
        <v>15437.26</v>
      </c>
      <c r="H26" s="314">
        <f>C26*D26*12+2.68</f>
        <v>19033453.960000001</v>
      </c>
      <c r="I26" s="90">
        <v>547800</v>
      </c>
      <c r="J26" s="384">
        <f t="shared" si="2"/>
        <v>19581253.960000001</v>
      </c>
      <c r="K26" s="384">
        <v>19581253.960000001</v>
      </c>
      <c r="L26" s="414">
        <f t="shared" si="3"/>
        <v>19581253.960000001</v>
      </c>
      <c r="M26" s="229"/>
      <c r="N26" s="229"/>
      <c r="O26" s="169"/>
      <c r="P26" s="169"/>
      <c r="Q26" s="169"/>
    </row>
    <row r="27" spans="1:17" s="67" customFormat="1" ht="23.25" customHeight="1" x14ac:dyDescent="0.25">
      <c r="A27" s="86" t="s">
        <v>305</v>
      </c>
      <c r="B27" s="413">
        <v>0</v>
      </c>
      <c r="C27" s="413">
        <v>0</v>
      </c>
      <c r="D27" s="237">
        <f t="shared" si="0"/>
        <v>0</v>
      </c>
      <c r="E27" s="88"/>
      <c r="F27" s="89"/>
      <c r="G27" s="90"/>
      <c r="H27" s="314">
        <f t="shared" si="1"/>
        <v>0</v>
      </c>
      <c r="I27" s="90"/>
      <c r="J27" s="384">
        <f t="shared" si="2"/>
        <v>0</v>
      </c>
      <c r="K27" s="293"/>
      <c r="L27" s="414">
        <f t="shared" si="3"/>
        <v>0</v>
      </c>
      <c r="M27" s="229"/>
      <c r="N27" s="229"/>
      <c r="O27" s="169"/>
      <c r="P27" s="169"/>
      <c r="Q27" s="169"/>
    </row>
    <row r="28" spans="1:17" s="67" customFormat="1" ht="23.25" customHeight="1" x14ac:dyDescent="0.25">
      <c r="A28" s="86" t="s">
        <v>306</v>
      </c>
      <c r="B28" s="413">
        <v>33.5</v>
      </c>
      <c r="C28" s="413">
        <v>27</v>
      </c>
      <c r="D28" s="237">
        <f t="shared" si="0"/>
        <v>18735.96</v>
      </c>
      <c r="E28" s="88">
        <v>4042.96</v>
      </c>
      <c r="F28" s="89"/>
      <c r="G28" s="90">
        <v>14693</v>
      </c>
      <c r="H28" s="314">
        <f>C28*D28*12+364777</f>
        <v>6435228.04</v>
      </c>
      <c r="I28" s="90"/>
      <c r="J28" s="384">
        <f t="shared" si="2"/>
        <v>6435228.04</v>
      </c>
      <c r="K28" s="384">
        <f>I28+J28</f>
        <v>6435228.04</v>
      </c>
      <c r="L28" s="414">
        <f t="shared" si="3"/>
        <v>6435228.04</v>
      </c>
      <c r="M28" s="229"/>
      <c r="N28" s="229"/>
      <c r="O28" s="169"/>
      <c r="P28" s="169"/>
      <c r="Q28" s="169"/>
    </row>
    <row r="29" spans="1:17" s="67" customFormat="1" ht="23.25" customHeight="1" x14ac:dyDescent="0.25">
      <c r="A29" s="86" t="s">
        <v>307</v>
      </c>
      <c r="B29" s="413">
        <v>0</v>
      </c>
      <c r="C29" s="413">
        <v>0</v>
      </c>
      <c r="D29" s="237">
        <f t="shared" si="0"/>
        <v>0</v>
      </c>
      <c r="E29" s="88"/>
      <c r="F29" s="89"/>
      <c r="G29" s="313"/>
      <c r="H29" s="314">
        <f t="shared" si="1"/>
        <v>0</v>
      </c>
      <c r="I29" s="90"/>
      <c r="J29" s="384">
        <f t="shared" si="2"/>
        <v>0</v>
      </c>
      <c r="K29" s="293"/>
      <c r="L29" s="414">
        <f t="shared" si="3"/>
        <v>0</v>
      </c>
      <c r="M29" s="229"/>
      <c r="N29" s="229"/>
      <c r="O29" s="169"/>
      <c r="P29" s="169"/>
      <c r="Q29" s="169"/>
    </row>
    <row r="30" spans="1:17" s="67" customFormat="1" ht="23.25" customHeight="1" x14ac:dyDescent="0.25">
      <c r="A30" s="86" t="s">
        <v>308</v>
      </c>
      <c r="B30" s="413">
        <v>6.5</v>
      </c>
      <c r="C30" s="413">
        <v>6.5</v>
      </c>
      <c r="D30" s="237">
        <f t="shared" si="0"/>
        <v>18084</v>
      </c>
      <c r="E30" s="88">
        <v>7550</v>
      </c>
      <c r="F30" s="89"/>
      <c r="G30" s="313">
        <v>10534</v>
      </c>
      <c r="H30" s="314">
        <f t="shared" si="1"/>
        <v>1410552</v>
      </c>
      <c r="I30" s="90"/>
      <c r="J30" s="384">
        <f t="shared" si="2"/>
        <v>1410552</v>
      </c>
      <c r="K30" s="414">
        <f>I30+J30</f>
        <v>1410552</v>
      </c>
      <c r="L30" s="414">
        <f t="shared" si="3"/>
        <v>1410552</v>
      </c>
      <c r="M30" s="229"/>
      <c r="N30" s="229"/>
      <c r="O30" s="327">
        <f>'Раздел 1'!F89+'Раздел 1'!F92</f>
        <v>29723144</v>
      </c>
      <c r="P30" s="169">
        <f>'Раздел 1'!G89+'Раздел 1'!G92</f>
        <v>29723223.550000001</v>
      </c>
      <c r="Q30" s="169">
        <f>'Раздел 1'!H89+'Раздел 1'!H92</f>
        <v>29723223.550000001</v>
      </c>
    </row>
    <row r="31" spans="1:17" s="67" customFormat="1" ht="23.25" customHeight="1" x14ac:dyDescent="0.25">
      <c r="A31" s="86" t="s">
        <v>309</v>
      </c>
      <c r="B31" s="413">
        <v>0</v>
      </c>
      <c r="C31" s="413">
        <v>0</v>
      </c>
      <c r="D31" s="237">
        <f t="shared" si="0"/>
        <v>0</v>
      </c>
      <c r="E31" s="88"/>
      <c r="F31" s="89"/>
      <c r="G31" s="313"/>
      <c r="H31" s="314">
        <f t="shared" si="1"/>
        <v>0</v>
      </c>
      <c r="I31" s="90"/>
      <c r="J31" s="384">
        <f t="shared" si="2"/>
        <v>0</v>
      </c>
      <c r="K31" s="293"/>
      <c r="L31" s="414">
        <f t="shared" si="3"/>
        <v>0</v>
      </c>
      <c r="M31" s="229"/>
      <c r="N31" s="229"/>
      <c r="O31" s="327">
        <f>'Раздел 1'!F90+'Раздел 1'!F93</f>
        <v>0</v>
      </c>
      <c r="P31" s="169">
        <f>'Раздел 1'!G90+'Раздел 1'!G93</f>
        <v>0</v>
      </c>
      <c r="Q31" s="169">
        <f>'Раздел 1'!H90+'Раздел 1'!H93</f>
        <v>0</v>
      </c>
    </row>
    <row r="32" spans="1:17" s="67" customFormat="1" ht="23.25" customHeight="1" thickBot="1" x14ac:dyDescent="0.3">
      <c r="A32" s="91" t="s">
        <v>310</v>
      </c>
      <c r="B32" s="92">
        <v>3.4</v>
      </c>
      <c r="C32" s="92">
        <v>2.5</v>
      </c>
      <c r="D32" s="237">
        <f t="shared" si="0"/>
        <v>13890.2</v>
      </c>
      <c r="E32" s="93">
        <v>3356</v>
      </c>
      <c r="F32" s="94"/>
      <c r="G32" s="313">
        <v>10534.2</v>
      </c>
      <c r="H32" s="315">
        <f t="shared" si="1"/>
        <v>416706</v>
      </c>
      <c r="I32" s="95"/>
      <c r="J32" s="384">
        <f t="shared" si="2"/>
        <v>416706</v>
      </c>
      <c r="K32" s="384">
        <f>I32+J32+79.55</f>
        <v>416785.55</v>
      </c>
      <c r="L32" s="414">
        <f t="shared" si="3"/>
        <v>416785.55</v>
      </c>
      <c r="M32" s="229"/>
      <c r="N32" s="229"/>
      <c r="O32" s="327">
        <f>'Раздел 1'!F91+'Раздел 1'!F94</f>
        <v>547800</v>
      </c>
      <c r="P32" s="169">
        <f>'Раздел 1'!G91+'Раздел 1'!G94</f>
        <v>547800</v>
      </c>
      <c r="Q32" s="169">
        <f>'Раздел 1'!H91+'Раздел 1'!H94</f>
        <v>547800</v>
      </c>
    </row>
    <row r="33" spans="1:17" s="104" customFormat="1" ht="34.200000000000003" customHeight="1" thickBot="1" x14ac:dyDescent="0.3">
      <c r="A33" s="96" t="s">
        <v>311</v>
      </c>
      <c r="B33" s="97">
        <f>SUM(B24:B32)</f>
        <v>180.54</v>
      </c>
      <c r="C33" s="97">
        <f>SUM(C24:C32)</f>
        <v>111</v>
      </c>
      <c r="D33" s="98"/>
      <c r="E33" s="99" t="s">
        <v>35</v>
      </c>
      <c r="F33" s="100" t="s">
        <v>35</v>
      </c>
      <c r="G33" s="97" t="s">
        <v>35</v>
      </c>
      <c r="H33" s="101">
        <f>SUM(H24:H32)</f>
        <v>29723144</v>
      </c>
      <c r="I33" s="102">
        <f>SUM(I24:I32)</f>
        <v>547800</v>
      </c>
      <c r="J33" s="103">
        <f>SUM(J24:J32)</f>
        <v>30270944</v>
      </c>
      <c r="K33" s="103">
        <f>SUM(K24:K32)</f>
        <v>30271023.550000001</v>
      </c>
      <c r="L33" s="103">
        <f>SUM(L24:L32)</f>
        <v>30271023.550000001</v>
      </c>
      <c r="M33" s="233"/>
      <c r="N33" s="233"/>
      <c r="O33" s="328">
        <f>SUM(O30:O32)</f>
        <v>30270944</v>
      </c>
      <c r="P33" s="173">
        <f>SUM(P30:P32)</f>
        <v>30271023.550000001</v>
      </c>
      <c r="Q33" s="173">
        <f>SUM(Q30:Q32)</f>
        <v>30271023.550000001</v>
      </c>
    </row>
    <row r="34" spans="1:17" s="74" customFormat="1" ht="12" customHeight="1" x14ac:dyDescent="0.25">
      <c r="A34" s="71"/>
      <c r="B34" s="71"/>
      <c r="C34" s="71"/>
      <c r="D34" s="71"/>
      <c r="E34" s="71"/>
      <c r="F34" s="71"/>
      <c r="G34" s="71"/>
      <c r="H34" s="71"/>
      <c r="I34" s="71"/>
      <c r="J34" s="164">
        <f>J33-O33</f>
        <v>0</v>
      </c>
      <c r="K34" s="164">
        <f>K33-P33</f>
        <v>0</v>
      </c>
      <c r="L34" s="164">
        <f>L33-Q33</f>
        <v>0</v>
      </c>
      <c r="M34" s="235"/>
      <c r="N34" s="231"/>
      <c r="O34" s="171"/>
      <c r="P34" s="171"/>
      <c r="Q34" s="171"/>
    </row>
    <row r="35" spans="1:17" s="73" customFormat="1" ht="13.8" x14ac:dyDescent="0.25">
      <c r="A35" s="508" t="s">
        <v>557</v>
      </c>
      <c r="B35" s="508"/>
      <c r="C35" s="508"/>
      <c r="D35" s="508"/>
      <c r="E35" s="508"/>
      <c r="F35" s="508"/>
      <c r="G35" s="508"/>
      <c r="H35" s="508"/>
      <c r="I35" s="508"/>
      <c r="J35" s="508"/>
      <c r="K35" s="281"/>
      <c r="L35" s="281"/>
      <c r="M35" s="230"/>
      <c r="N35" s="230"/>
      <c r="O35" s="170"/>
      <c r="P35" s="170"/>
      <c r="Q35" s="170"/>
    </row>
    <row r="36" spans="1:17" s="74" customFormat="1" ht="12" customHeight="1" thickBot="1" x14ac:dyDescent="0.3">
      <c r="A36" s="71"/>
      <c r="B36" s="71"/>
      <c r="C36" s="71"/>
      <c r="D36" s="71"/>
      <c r="E36" s="71"/>
      <c r="F36" s="71"/>
      <c r="G36" s="71"/>
      <c r="H36" s="71"/>
      <c r="I36" s="71"/>
      <c r="J36" s="71"/>
      <c r="K36" s="71"/>
      <c r="L36" s="71"/>
      <c r="M36" s="231"/>
      <c r="N36" s="231"/>
      <c r="O36" s="171"/>
      <c r="P36" s="171"/>
      <c r="Q36" s="171"/>
    </row>
    <row r="37" spans="1:17" s="67" customFormat="1" ht="41.25" customHeight="1" thickBot="1" x14ac:dyDescent="0.3">
      <c r="A37" s="565" t="s">
        <v>312</v>
      </c>
      <c r="B37" s="560"/>
      <c r="C37" s="560"/>
      <c r="D37" s="554" t="s">
        <v>313</v>
      </c>
      <c r="E37" s="554"/>
      <c r="F37" s="554" t="s">
        <v>314</v>
      </c>
      <c r="G37" s="554"/>
      <c r="H37" s="554" t="s">
        <v>315</v>
      </c>
      <c r="I37" s="554"/>
      <c r="J37" s="105" t="s">
        <v>316</v>
      </c>
      <c r="K37" s="292" t="s">
        <v>316</v>
      </c>
      <c r="L37" s="292" t="s">
        <v>316</v>
      </c>
      <c r="M37" s="229"/>
      <c r="N37" s="229"/>
      <c r="O37" s="169"/>
      <c r="P37" s="169"/>
      <c r="Q37" s="169"/>
    </row>
    <row r="38" spans="1:17" s="85" customFormat="1" x14ac:dyDescent="0.25">
      <c r="A38" s="600">
        <v>1</v>
      </c>
      <c r="B38" s="604"/>
      <c r="C38" s="604"/>
      <c r="D38" s="605">
        <v>2</v>
      </c>
      <c r="E38" s="605"/>
      <c r="F38" s="605">
        <v>3</v>
      </c>
      <c r="G38" s="605"/>
      <c r="H38" s="605">
        <v>4</v>
      </c>
      <c r="I38" s="605"/>
      <c r="J38" s="84" t="s">
        <v>317</v>
      </c>
      <c r="K38" s="279" t="s">
        <v>317</v>
      </c>
      <c r="L38" s="279" t="s">
        <v>317</v>
      </c>
      <c r="M38" s="232"/>
      <c r="N38" s="232"/>
      <c r="O38" s="172"/>
      <c r="P38" s="172"/>
      <c r="Q38" s="172"/>
    </row>
    <row r="39" spans="1:17" s="85" customFormat="1" x14ac:dyDescent="0.25">
      <c r="A39" s="571"/>
      <c r="B39" s="572"/>
      <c r="C39" s="572"/>
      <c r="D39" s="561"/>
      <c r="E39" s="561"/>
      <c r="F39" s="561"/>
      <c r="G39" s="561"/>
      <c r="H39" s="561"/>
      <c r="I39" s="561"/>
      <c r="J39" s="206">
        <f>D39*F39*H39</f>
        <v>0</v>
      </c>
      <c r="K39" s="293"/>
      <c r="L39" s="293"/>
      <c r="M39" s="232"/>
      <c r="N39" s="232"/>
      <c r="O39" s="172"/>
      <c r="P39" s="172"/>
      <c r="Q39" s="172"/>
    </row>
    <row r="40" spans="1:17" s="104" customFormat="1" ht="19.5" customHeight="1" thickBot="1" x14ac:dyDescent="0.3">
      <c r="A40" s="571"/>
      <c r="B40" s="572"/>
      <c r="C40" s="572"/>
      <c r="D40" s="561"/>
      <c r="E40" s="561"/>
      <c r="F40" s="561"/>
      <c r="G40" s="561"/>
      <c r="H40" s="561"/>
      <c r="I40" s="561"/>
      <c r="J40" s="90"/>
      <c r="K40" s="313"/>
      <c r="L40" s="313"/>
      <c r="M40" s="233"/>
      <c r="N40" s="233"/>
      <c r="O40" s="173"/>
      <c r="P40" s="173"/>
      <c r="Q40" s="173"/>
    </row>
    <row r="41" spans="1:17" s="104" customFormat="1" ht="16.95" customHeight="1" thickBot="1" x14ac:dyDescent="0.3">
      <c r="A41" s="556" t="s">
        <v>311</v>
      </c>
      <c r="B41" s="557"/>
      <c r="C41" s="557"/>
      <c r="D41" s="558"/>
      <c r="E41" s="558"/>
      <c r="F41" s="558" t="s">
        <v>35</v>
      </c>
      <c r="G41" s="558"/>
      <c r="H41" s="558"/>
      <c r="I41" s="558"/>
      <c r="J41" s="106">
        <f>SUM(J39:J40)</f>
        <v>0</v>
      </c>
      <c r="K41" s="106">
        <f>SUM(K39:K40)</f>
        <v>0</v>
      </c>
      <c r="L41" s="106">
        <f>SUM(L39:L40)</f>
        <v>0</v>
      </c>
      <c r="M41" s="233"/>
      <c r="N41" s="233"/>
      <c r="O41" s="173">
        <f>'Раздел 1'!F96</f>
        <v>0</v>
      </c>
      <c r="P41" s="173">
        <f>'Раздел 1'!G96</f>
        <v>0</v>
      </c>
      <c r="Q41" s="173">
        <f>'Раздел 1'!H96</f>
        <v>0</v>
      </c>
    </row>
    <row r="42" spans="1:17" s="74" customFormat="1" ht="12" customHeight="1" x14ac:dyDescent="0.25">
      <c r="A42" s="71"/>
      <c r="B42" s="71"/>
      <c r="C42" s="71"/>
      <c r="D42" s="71"/>
      <c r="E42" s="71"/>
      <c r="F42" s="71"/>
      <c r="G42" s="71"/>
      <c r="H42" s="71"/>
      <c r="I42" s="71"/>
      <c r="J42" s="164">
        <f>J41-O41</f>
        <v>0</v>
      </c>
      <c r="K42" s="164">
        <f>K41-P41</f>
        <v>0</v>
      </c>
      <c r="L42" s="164">
        <f>L41-Q41</f>
        <v>0</v>
      </c>
      <c r="M42" s="231"/>
      <c r="N42" s="231"/>
      <c r="O42" s="171"/>
      <c r="P42" s="171"/>
      <c r="Q42" s="171"/>
    </row>
    <row r="43" spans="1:17" s="73" customFormat="1" ht="13.8" x14ac:dyDescent="0.25">
      <c r="A43" s="508" t="s">
        <v>318</v>
      </c>
      <c r="B43" s="508"/>
      <c r="C43" s="508"/>
      <c r="D43" s="508"/>
      <c r="E43" s="508"/>
      <c r="F43" s="508"/>
      <c r="G43" s="508"/>
      <c r="H43" s="508"/>
      <c r="I43" s="508"/>
      <c r="J43" s="508"/>
      <c r="K43" s="281"/>
      <c r="L43" s="281"/>
      <c r="M43" s="230"/>
      <c r="N43" s="230"/>
      <c r="O43" s="170"/>
      <c r="P43" s="170"/>
      <c r="Q43" s="170"/>
    </row>
    <row r="44" spans="1:17" s="74" customFormat="1" ht="12" customHeight="1" thickBot="1" x14ac:dyDescent="0.3">
      <c r="A44" s="71"/>
      <c r="B44" s="71"/>
      <c r="C44" s="71"/>
      <c r="D44" s="71"/>
      <c r="E44" s="71"/>
      <c r="F44" s="71"/>
      <c r="G44" s="71"/>
      <c r="H44" s="71"/>
      <c r="I44" s="71"/>
      <c r="J44" s="71"/>
      <c r="K44" s="71"/>
      <c r="L44" s="71"/>
      <c r="M44" s="231"/>
      <c r="N44" s="231"/>
      <c r="O44" s="171"/>
      <c r="P44" s="171"/>
      <c r="Q44" s="171"/>
    </row>
    <row r="45" spans="1:17" s="67" customFormat="1" ht="37.200000000000003" customHeight="1" thickBot="1" x14ac:dyDescent="0.3">
      <c r="A45" s="565" t="s">
        <v>312</v>
      </c>
      <c r="B45" s="560"/>
      <c r="C45" s="560"/>
      <c r="D45" s="554" t="s">
        <v>319</v>
      </c>
      <c r="E45" s="554"/>
      <c r="F45" s="554" t="s">
        <v>320</v>
      </c>
      <c r="G45" s="554"/>
      <c r="H45" s="554" t="s">
        <v>321</v>
      </c>
      <c r="I45" s="554"/>
      <c r="J45" s="105" t="s">
        <v>316</v>
      </c>
      <c r="K45" s="292" t="s">
        <v>316</v>
      </c>
      <c r="L45" s="292" t="s">
        <v>316</v>
      </c>
      <c r="M45" s="229"/>
      <c r="N45" s="229"/>
      <c r="O45" s="169"/>
      <c r="P45" s="169"/>
      <c r="Q45" s="169"/>
    </row>
    <row r="46" spans="1:17" s="85" customFormat="1" x14ac:dyDescent="0.25">
      <c r="A46" s="600">
        <v>1</v>
      </c>
      <c r="B46" s="604"/>
      <c r="C46" s="604"/>
      <c r="D46" s="605"/>
      <c r="E46" s="605"/>
      <c r="F46" s="605">
        <v>3</v>
      </c>
      <c r="G46" s="605"/>
      <c r="H46" s="605"/>
      <c r="I46" s="605"/>
      <c r="J46" s="84"/>
      <c r="K46" s="279"/>
      <c r="L46" s="279"/>
      <c r="M46" s="232"/>
      <c r="N46" s="232"/>
      <c r="O46" s="172"/>
      <c r="P46" s="172"/>
      <c r="Q46" s="172"/>
    </row>
    <row r="47" spans="1:17" s="104" customFormat="1" ht="17.25" customHeight="1" x14ac:dyDescent="0.25">
      <c r="A47" s="602" t="s">
        <v>322</v>
      </c>
      <c r="B47" s="603"/>
      <c r="C47" s="603"/>
      <c r="D47" s="561"/>
      <c r="E47" s="561"/>
      <c r="F47" s="561"/>
      <c r="G47" s="561"/>
      <c r="H47" s="589">
        <v>50</v>
      </c>
      <c r="I47" s="589"/>
      <c r="J47" s="90"/>
      <c r="K47" s="293"/>
      <c r="L47" s="293"/>
      <c r="M47" s="233"/>
      <c r="N47" s="233"/>
      <c r="O47" s="173"/>
      <c r="P47" s="173"/>
      <c r="Q47" s="173"/>
    </row>
    <row r="48" spans="1:17" s="104" customFormat="1" ht="17.25" customHeight="1" thickBot="1" x14ac:dyDescent="0.3">
      <c r="A48" s="602" t="s">
        <v>322</v>
      </c>
      <c r="B48" s="603"/>
      <c r="C48" s="603"/>
      <c r="D48" s="561">
        <v>0</v>
      </c>
      <c r="E48" s="561"/>
      <c r="F48" s="561">
        <v>0</v>
      </c>
      <c r="G48" s="561"/>
      <c r="H48" s="589">
        <v>0</v>
      </c>
      <c r="I48" s="589"/>
      <c r="J48" s="90">
        <f>F48*H48</f>
        <v>0</v>
      </c>
      <c r="K48" s="293"/>
      <c r="L48" s="293"/>
      <c r="M48" s="233"/>
      <c r="N48" s="233"/>
      <c r="O48" s="173"/>
      <c r="P48" s="173"/>
      <c r="Q48" s="173"/>
    </row>
    <row r="49" spans="1:17" s="104" customFormat="1" ht="16.95" customHeight="1" thickBot="1" x14ac:dyDescent="0.3">
      <c r="A49" s="556" t="s">
        <v>311</v>
      </c>
      <c r="B49" s="557"/>
      <c r="C49" s="557"/>
      <c r="D49" s="558"/>
      <c r="E49" s="558"/>
      <c r="F49" s="558" t="s">
        <v>35</v>
      </c>
      <c r="G49" s="558"/>
      <c r="H49" s="558"/>
      <c r="I49" s="558"/>
      <c r="J49" s="106">
        <f>SUM(J47:J48)</f>
        <v>0</v>
      </c>
      <c r="K49" s="106">
        <f>SUM(K47:K48)</f>
        <v>0</v>
      </c>
      <c r="L49" s="106">
        <f>SUM(L47:L48)</f>
        <v>0</v>
      </c>
      <c r="M49" s="233"/>
      <c r="N49" s="233"/>
      <c r="O49" s="173">
        <f>'Раздел 1'!F99</f>
        <v>0</v>
      </c>
      <c r="P49" s="173">
        <f>'Раздел 1'!G99</f>
        <v>0</v>
      </c>
      <c r="Q49" s="173">
        <f>'Раздел 1'!H99</f>
        <v>0</v>
      </c>
    </row>
    <row r="50" spans="1:17" s="74" customFormat="1" ht="12" customHeight="1" x14ac:dyDescent="0.25">
      <c r="A50" s="71"/>
      <c r="B50" s="71"/>
      <c r="C50" s="71"/>
      <c r="D50" s="71"/>
      <c r="E50" s="71"/>
      <c r="F50" s="71"/>
      <c r="G50" s="71"/>
      <c r="H50" s="71"/>
      <c r="I50" s="71"/>
      <c r="J50" s="164">
        <f>J49-O49</f>
        <v>0</v>
      </c>
      <c r="K50" s="164">
        <f>K49-P49</f>
        <v>0</v>
      </c>
      <c r="L50" s="164">
        <f>L49-Q49</f>
        <v>0</v>
      </c>
      <c r="M50" s="231"/>
      <c r="N50" s="231"/>
      <c r="O50" s="171"/>
      <c r="P50" s="171"/>
      <c r="Q50" s="171"/>
    </row>
    <row r="51" spans="1:17" s="73" customFormat="1" ht="30" customHeight="1" x14ac:dyDescent="0.25">
      <c r="A51" s="507" t="s">
        <v>323</v>
      </c>
      <c r="B51" s="507"/>
      <c r="C51" s="507"/>
      <c r="D51" s="507"/>
      <c r="E51" s="507"/>
      <c r="F51" s="507"/>
      <c r="G51" s="507"/>
      <c r="H51" s="507"/>
      <c r="I51" s="507"/>
      <c r="J51" s="507"/>
      <c r="K51" s="285"/>
      <c r="L51" s="285"/>
      <c r="M51" s="230"/>
      <c r="N51" s="230"/>
      <c r="O51" s="170"/>
      <c r="P51" s="170"/>
      <c r="Q51" s="170"/>
    </row>
    <row r="52" spans="1:17" s="74" customFormat="1" ht="12" customHeight="1" thickBot="1" x14ac:dyDescent="0.3">
      <c r="A52" s="71"/>
      <c r="B52" s="71"/>
      <c r="C52" s="71"/>
      <c r="D52" s="71"/>
      <c r="E52" s="71"/>
      <c r="F52" s="71"/>
      <c r="G52" s="71"/>
      <c r="H52" s="71"/>
      <c r="I52" s="71"/>
      <c r="J52" s="71"/>
      <c r="K52" s="71"/>
      <c r="L52" s="71"/>
      <c r="M52" s="231"/>
      <c r="N52" s="231"/>
      <c r="O52" s="171"/>
      <c r="P52" s="171"/>
      <c r="Q52" s="171"/>
    </row>
    <row r="53" spans="1:17" s="67" customFormat="1" ht="41.25" customHeight="1" thickBot="1" x14ac:dyDescent="0.3">
      <c r="A53" s="565" t="s">
        <v>324</v>
      </c>
      <c r="B53" s="560"/>
      <c r="C53" s="560"/>
      <c r="D53" s="560"/>
      <c r="E53" s="560"/>
      <c r="F53" s="560"/>
      <c r="G53" s="560"/>
      <c r="H53" s="554" t="s">
        <v>325</v>
      </c>
      <c r="I53" s="554"/>
      <c r="J53" s="105" t="s">
        <v>326</v>
      </c>
      <c r="K53" s="292" t="s">
        <v>326</v>
      </c>
      <c r="L53" s="292" t="s">
        <v>326</v>
      </c>
      <c r="M53" s="229"/>
      <c r="N53" s="229"/>
      <c r="O53" s="169"/>
      <c r="P53" s="169"/>
      <c r="Q53" s="169"/>
    </row>
    <row r="54" spans="1:17" s="85" customFormat="1" x14ac:dyDescent="0.25">
      <c r="A54" s="107">
        <v>1</v>
      </c>
      <c r="B54" s="108"/>
      <c r="C54" s="108"/>
      <c r="D54" s="108"/>
      <c r="E54" s="108"/>
      <c r="F54" s="108"/>
      <c r="G54" s="109"/>
      <c r="H54" s="600"/>
      <c r="I54" s="601"/>
      <c r="J54" s="84"/>
      <c r="K54" s="279"/>
      <c r="L54" s="279"/>
      <c r="M54" s="232"/>
      <c r="N54" s="232"/>
      <c r="O54" s="172"/>
      <c r="P54" s="172"/>
      <c r="Q54" s="172"/>
    </row>
    <row r="55" spans="1:17" s="104" customFormat="1" ht="13.5" hidden="1" customHeight="1" x14ac:dyDescent="0.25">
      <c r="A55" s="110"/>
      <c r="B55" s="111"/>
      <c r="C55" s="111"/>
      <c r="D55" s="111"/>
      <c r="E55" s="111"/>
      <c r="F55" s="111"/>
      <c r="G55" s="111"/>
      <c r="H55" s="112"/>
      <c r="I55" s="112"/>
      <c r="J55" s="87"/>
      <c r="K55" s="290"/>
      <c r="L55" s="290"/>
      <c r="M55" s="233"/>
      <c r="N55" s="233"/>
      <c r="O55" s="173"/>
      <c r="P55" s="173"/>
      <c r="Q55" s="173"/>
    </row>
    <row r="56" spans="1:17" s="104" customFormat="1" ht="13.5" hidden="1" customHeight="1" x14ac:dyDescent="0.25">
      <c r="A56" s="110"/>
      <c r="B56" s="111"/>
      <c r="C56" s="111"/>
      <c r="D56" s="111"/>
      <c r="E56" s="111"/>
      <c r="F56" s="111"/>
      <c r="G56" s="111"/>
      <c r="H56" s="112"/>
      <c r="I56" s="112"/>
      <c r="J56" s="87"/>
      <c r="K56" s="290"/>
      <c r="L56" s="290"/>
      <c r="M56" s="233"/>
      <c r="N56" s="233"/>
      <c r="O56" s="173"/>
      <c r="P56" s="173"/>
      <c r="Q56" s="173"/>
    </row>
    <row r="57" spans="1:17" s="104" customFormat="1" ht="18" customHeight="1" x14ac:dyDescent="0.25">
      <c r="A57" s="597" t="s">
        <v>327</v>
      </c>
      <c r="B57" s="521"/>
      <c r="C57" s="521"/>
      <c r="D57" s="521"/>
      <c r="E57" s="521"/>
      <c r="F57" s="521"/>
      <c r="G57" s="522"/>
      <c r="H57" s="598">
        <f>$O$33</f>
        <v>30270944</v>
      </c>
      <c r="I57" s="599"/>
      <c r="J57" s="113">
        <f>O33*0.22</f>
        <v>6659607.6799999997</v>
      </c>
      <c r="K57" s="113">
        <f>P33*0.22</f>
        <v>6659625.1809999999</v>
      </c>
      <c r="L57" s="113">
        <f>Q33*0.22</f>
        <v>6659625.1809999999</v>
      </c>
      <c r="M57" s="233"/>
      <c r="N57" s="233"/>
      <c r="O57" s="173"/>
      <c r="P57" s="173"/>
      <c r="Q57" s="173"/>
    </row>
    <row r="58" spans="1:17" s="104" customFormat="1" ht="24.75" customHeight="1" x14ac:dyDescent="0.25">
      <c r="A58" s="597" t="s">
        <v>328</v>
      </c>
      <c r="B58" s="521"/>
      <c r="C58" s="521"/>
      <c r="D58" s="521"/>
      <c r="E58" s="521"/>
      <c r="F58" s="521"/>
      <c r="G58" s="522"/>
      <c r="H58" s="598">
        <f>$O$33</f>
        <v>30270944</v>
      </c>
      <c r="I58" s="599"/>
      <c r="J58" s="113">
        <f>O33*0.029</f>
        <v>877857.37600000005</v>
      </c>
      <c r="K58" s="113">
        <f>P33*0.029</f>
        <v>877859.68295000005</v>
      </c>
      <c r="L58" s="113">
        <f>Q33*0.029</f>
        <v>877859.68295000005</v>
      </c>
      <c r="M58" s="233"/>
      <c r="N58" s="233"/>
      <c r="O58" s="173"/>
      <c r="P58" s="173"/>
      <c r="Q58" s="173"/>
    </row>
    <row r="59" spans="1:17" s="104" customFormat="1" ht="24.75" customHeight="1" x14ac:dyDescent="0.25">
      <c r="A59" s="597" t="s">
        <v>329</v>
      </c>
      <c r="B59" s="521"/>
      <c r="C59" s="521"/>
      <c r="D59" s="521"/>
      <c r="E59" s="521"/>
      <c r="F59" s="521"/>
      <c r="G59" s="522"/>
      <c r="H59" s="598">
        <f>$O$33</f>
        <v>30270944</v>
      </c>
      <c r="I59" s="599"/>
      <c r="J59" s="113">
        <f>O33*0.002</f>
        <v>60541.887999999999</v>
      </c>
      <c r="K59" s="113">
        <f>P33*0.002</f>
        <v>60542.047100000003</v>
      </c>
      <c r="L59" s="113">
        <f>Q33*0.002</f>
        <v>60542.047100000003</v>
      </c>
      <c r="M59" s="233"/>
      <c r="N59" s="233"/>
      <c r="O59" s="173"/>
      <c r="P59" s="173"/>
      <c r="Q59" s="173"/>
    </row>
    <row r="60" spans="1:17" s="104" customFormat="1" ht="15" customHeight="1" thickBot="1" x14ac:dyDescent="0.3">
      <c r="A60" s="597" t="s">
        <v>330</v>
      </c>
      <c r="B60" s="521"/>
      <c r="C60" s="521"/>
      <c r="D60" s="521"/>
      <c r="E60" s="521"/>
      <c r="F60" s="521"/>
      <c r="G60" s="522"/>
      <c r="H60" s="598">
        <f>$O$33</f>
        <v>30270944</v>
      </c>
      <c r="I60" s="599"/>
      <c r="J60" s="113">
        <f>O33*0.051+54.46</f>
        <v>1543872.6039999998</v>
      </c>
      <c r="K60" s="113">
        <f>P33*0.051-49.11</f>
        <v>1543773.0910499999</v>
      </c>
      <c r="L60" s="113">
        <f>Q33*0.051-49.11</f>
        <v>1543773.0910499999</v>
      </c>
      <c r="M60" s="233"/>
      <c r="N60" s="233"/>
      <c r="O60" s="173"/>
      <c r="P60" s="173"/>
      <c r="Q60" s="173"/>
    </row>
    <row r="61" spans="1:17" s="104" customFormat="1" ht="18" customHeight="1" thickBot="1" x14ac:dyDescent="0.3">
      <c r="A61" s="565" t="s">
        <v>311</v>
      </c>
      <c r="B61" s="560"/>
      <c r="C61" s="560"/>
      <c r="D61" s="560"/>
      <c r="E61" s="560"/>
      <c r="F61" s="560"/>
      <c r="G61" s="560"/>
      <c r="H61" s="558" t="s">
        <v>35</v>
      </c>
      <c r="I61" s="558"/>
      <c r="J61" s="101">
        <f>SUM(J57:J60)</f>
        <v>9141879.5480000004</v>
      </c>
      <c r="K61" s="101">
        <f>SUM(K57:K60)</f>
        <v>9141800.0021000002</v>
      </c>
      <c r="L61" s="101">
        <f>SUM(L57:L60)</f>
        <v>9141800.0021000002</v>
      </c>
      <c r="M61" s="233"/>
      <c r="N61" s="233"/>
      <c r="O61" s="173">
        <f>'Раздел 1'!F103</f>
        <v>9141879.5500000007</v>
      </c>
      <c r="P61" s="323">
        <f>'Раздел 1'!G103</f>
        <v>9141800</v>
      </c>
      <c r="Q61" s="323">
        <f>'Раздел 1'!H103</f>
        <v>9141800</v>
      </c>
    </row>
    <row r="62" spans="1:17" ht="3" customHeight="1" x14ac:dyDescent="0.25"/>
    <row r="63" spans="1:17" s="60" customFormat="1" ht="36" hidden="1" customHeight="1" x14ac:dyDescent="0.25">
      <c r="A63" s="595" t="s">
        <v>331</v>
      </c>
      <c r="B63" s="596"/>
      <c r="C63" s="596"/>
      <c r="D63" s="596"/>
      <c r="E63" s="596"/>
      <c r="F63" s="596"/>
      <c r="G63" s="596"/>
      <c r="H63" s="596"/>
      <c r="I63" s="596"/>
      <c r="J63" s="596"/>
      <c r="K63" s="286"/>
      <c r="L63" s="286"/>
      <c r="M63" s="226"/>
      <c r="N63" s="226"/>
      <c r="O63" s="166"/>
      <c r="P63" s="166"/>
      <c r="Q63" s="166"/>
    </row>
    <row r="64" spans="1:17" s="67" customFormat="1" ht="12" customHeight="1" x14ac:dyDescent="0.25">
      <c r="A64" s="71"/>
      <c r="B64" s="70"/>
      <c r="C64" s="70"/>
      <c r="D64" s="70"/>
      <c r="E64" s="70"/>
      <c r="F64" s="70"/>
      <c r="G64" s="70"/>
      <c r="H64" s="70"/>
      <c r="I64" s="70"/>
      <c r="J64" s="164">
        <f>J61-O61</f>
        <v>-2.0000003278255463E-3</v>
      </c>
      <c r="K64" s="164">
        <f>K61-P61</f>
        <v>2.1000001579523087E-3</v>
      </c>
      <c r="L64" s="164">
        <f>L61-Q61</f>
        <v>2.1000001579523087E-3</v>
      </c>
      <c r="M64" s="236"/>
      <c r="N64" s="229"/>
      <c r="O64" s="169"/>
      <c r="P64" s="169"/>
      <c r="Q64" s="169"/>
    </row>
    <row r="65" spans="1:17" s="67" customFormat="1" ht="13.8" x14ac:dyDescent="0.25">
      <c r="A65" s="508" t="s">
        <v>332</v>
      </c>
      <c r="B65" s="508"/>
      <c r="C65" s="508"/>
      <c r="D65" s="508"/>
      <c r="E65" s="508"/>
      <c r="F65" s="508"/>
      <c r="G65" s="508"/>
      <c r="H65" s="508"/>
      <c r="I65" s="508"/>
      <c r="J65" s="508"/>
      <c r="K65" s="281"/>
      <c r="L65" s="281"/>
      <c r="M65" s="229"/>
      <c r="N65" s="229"/>
      <c r="O65" s="169"/>
      <c r="P65" s="169"/>
      <c r="Q65" s="169"/>
    </row>
    <row r="66" spans="1:17" s="67" customFormat="1" ht="4.5" customHeight="1" x14ac:dyDescent="0.25">
      <c r="A66" s="71"/>
      <c r="B66" s="70"/>
      <c r="C66" s="70"/>
      <c r="D66" s="70"/>
      <c r="E66" s="70"/>
      <c r="F66" s="70"/>
      <c r="G66" s="70"/>
      <c r="H66" s="70"/>
      <c r="I66" s="70"/>
      <c r="J66" s="71"/>
      <c r="K66" s="71"/>
      <c r="L66" s="71"/>
      <c r="M66" s="229"/>
      <c r="N66" s="229"/>
      <c r="O66" s="169"/>
      <c r="P66" s="169"/>
      <c r="Q66" s="169"/>
    </row>
    <row r="67" spans="1:17" s="73" customFormat="1" ht="13.8" x14ac:dyDescent="0.25">
      <c r="A67" s="69" t="s">
        <v>287</v>
      </c>
      <c r="B67" s="582" t="s">
        <v>333</v>
      </c>
      <c r="C67" s="582"/>
      <c r="D67" s="582"/>
      <c r="E67" s="582"/>
      <c r="F67" s="582"/>
      <c r="G67" s="582"/>
      <c r="H67" s="582"/>
      <c r="I67" s="582"/>
      <c r="J67" s="582"/>
      <c r="K67" s="303"/>
      <c r="L67" s="303"/>
      <c r="M67" s="230"/>
      <c r="N67" s="230"/>
      <c r="O67" s="170"/>
      <c r="P67" s="170"/>
      <c r="Q67" s="170"/>
    </row>
    <row r="68" spans="1:17" s="74" customFormat="1" ht="3" customHeight="1" x14ac:dyDescent="0.25">
      <c r="A68" s="71"/>
      <c r="B68" s="71"/>
      <c r="C68" s="71"/>
      <c r="D68" s="71"/>
      <c r="E68" s="71"/>
      <c r="F68" s="71"/>
      <c r="G68" s="71"/>
      <c r="H68" s="71"/>
      <c r="I68" s="71"/>
      <c r="J68" s="71"/>
      <c r="K68" s="71"/>
      <c r="L68" s="71"/>
      <c r="M68" s="231"/>
      <c r="N68" s="231"/>
      <c r="O68" s="171"/>
      <c r="P68" s="171"/>
      <c r="Q68" s="171"/>
    </row>
    <row r="69" spans="1:17" s="73" customFormat="1" ht="13.8" x14ac:dyDescent="0.25">
      <c r="A69" s="69" t="s">
        <v>288</v>
      </c>
      <c r="B69" s="69"/>
      <c r="C69" s="69"/>
      <c r="D69" s="69"/>
      <c r="E69" s="587" t="s">
        <v>334</v>
      </c>
      <c r="F69" s="587"/>
      <c r="G69" s="587"/>
      <c r="H69" s="587"/>
      <c r="I69" s="587"/>
      <c r="J69" s="587"/>
      <c r="K69" s="69"/>
      <c r="L69" s="69"/>
      <c r="M69" s="230"/>
      <c r="N69" s="230"/>
      <c r="O69" s="170"/>
      <c r="P69" s="170"/>
      <c r="Q69" s="170"/>
    </row>
    <row r="70" spans="1:17" s="74" customFormat="1" ht="12" customHeight="1" thickBot="1" x14ac:dyDescent="0.3">
      <c r="A70" s="71"/>
      <c r="B70" s="71"/>
      <c r="C70" s="71"/>
      <c r="D70" s="71"/>
      <c r="E70" s="71"/>
      <c r="F70" s="71"/>
      <c r="G70" s="71"/>
      <c r="H70" s="71"/>
      <c r="I70" s="71"/>
      <c r="J70" s="71"/>
      <c r="K70" s="71"/>
      <c r="L70" s="71"/>
      <c r="M70" s="231"/>
      <c r="N70" s="231"/>
      <c r="O70" s="171"/>
      <c r="P70" s="171"/>
      <c r="Q70" s="171"/>
    </row>
    <row r="71" spans="1:17" s="67" customFormat="1" ht="39" customHeight="1" thickBot="1" x14ac:dyDescent="0.3">
      <c r="A71" s="565" t="s">
        <v>0</v>
      </c>
      <c r="B71" s="560"/>
      <c r="C71" s="560"/>
      <c r="D71" s="560"/>
      <c r="E71" s="560"/>
      <c r="F71" s="554" t="s">
        <v>335</v>
      </c>
      <c r="G71" s="554"/>
      <c r="H71" s="554" t="s">
        <v>336</v>
      </c>
      <c r="I71" s="554"/>
      <c r="J71" s="105" t="s">
        <v>337</v>
      </c>
      <c r="K71" s="292" t="s">
        <v>337</v>
      </c>
      <c r="L71" s="292" t="s">
        <v>337</v>
      </c>
      <c r="M71" s="229"/>
      <c r="N71" s="229"/>
      <c r="O71" s="169"/>
      <c r="P71" s="169"/>
      <c r="Q71" s="169"/>
    </row>
    <row r="72" spans="1:17" s="85" customFormat="1" x14ac:dyDescent="0.25">
      <c r="A72" s="593">
        <v>1</v>
      </c>
      <c r="B72" s="594"/>
      <c r="C72" s="594"/>
      <c r="D72" s="594"/>
      <c r="E72" s="594"/>
      <c r="F72" s="513">
        <v>2</v>
      </c>
      <c r="G72" s="513"/>
      <c r="H72" s="513">
        <v>3</v>
      </c>
      <c r="I72" s="513"/>
      <c r="J72" s="114" t="s">
        <v>338</v>
      </c>
      <c r="K72" s="287" t="s">
        <v>338</v>
      </c>
      <c r="L72" s="287" t="s">
        <v>338</v>
      </c>
      <c r="M72" s="232"/>
      <c r="N72" s="232"/>
      <c r="O72" s="172"/>
      <c r="P72" s="172"/>
      <c r="Q72" s="172"/>
    </row>
    <row r="73" spans="1:17" s="104" customFormat="1" ht="15" customHeight="1" x14ac:dyDescent="0.25">
      <c r="A73" s="501" t="s">
        <v>476</v>
      </c>
      <c r="B73" s="502"/>
      <c r="C73" s="502"/>
      <c r="D73" s="502"/>
      <c r="E73" s="502"/>
      <c r="F73" s="555">
        <v>2500</v>
      </c>
      <c r="G73" s="555"/>
      <c r="H73" s="555">
        <v>45</v>
      </c>
      <c r="I73" s="555"/>
      <c r="J73" s="115">
        <f>F73*H73</f>
        <v>112500</v>
      </c>
      <c r="K73" s="115">
        <v>67000</v>
      </c>
      <c r="L73" s="115">
        <v>77000</v>
      </c>
      <c r="M73" s="233"/>
      <c r="N73" s="233"/>
      <c r="O73" s="173"/>
      <c r="P73" s="173"/>
      <c r="Q73" s="173"/>
    </row>
    <row r="74" spans="1:17" s="104" customFormat="1" ht="15" customHeight="1" x14ac:dyDescent="0.25">
      <c r="A74" s="501" t="s">
        <v>477</v>
      </c>
      <c r="B74" s="502"/>
      <c r="C74" s="502"/>
      <c r="D74" s="502"/>
      <c r="E74" s="502"/>
      <c r="F74" s="555">
        <v>15000</v>
      </c>
      <c r="G74" s="555"/>
      <c r="H74" s="555">
        <v>2</v>
      </c>
      <c r="I74" s="555"/>
      <c r="J74" s="115">
        <f>F74*H74</f>
        <v>30000</v>
      </c>
      <c r="K74" s="115"/>
      <c r="L74" s="115">
        <v>15000</v>
      </c>
      <c r="M74" s="233"/>
      <c r="N74" s="233"/>
      <c r="O74" s="173"/>
      <c r="P74" s="173"/>
      <c r="Q74" s="173"/>
    </row>
    <row r="75" spans="1:17" s="104" customFormat="1" ht="15" customHeight="1" x14ac:dyDescent="0.25">
      <c r="A75" s="501" t="s">
        <v>477</v>
      </c>
      <c r="B75" s="502"/>
      <c r="C75" s="502"/>
      <c r="D75" s="502"/>
      <c r="E75" s="502"/>
      <c r="F75" s="555">
        <v>20000</v>
      </c>
      <c r="G75" s="555"/>
      <c r="H75" s="555">
        <v>1</v>
      </c>
      <c r="I75" s="555"/>
      <c r="J75" s="115">
        <f>F75*H75</f>
        <v>20000</v>
      </c>
      <c r="K75" s="115">
        <v>40000</v>
      </c>
      <c r="L75" s="115"/>
      <c r="M75" s="233"/>
      <c r="N75" s="233"/>
      <c r="O75" s="173"/>
      <c r="P75" s="173"/>
      <c r="Q75" s="173"/>
    </row>
    <row r="76" spans="1:17" s="104" customFormat="1" ht="15" customHeight="1" thickBot="1" x14ac:dyDescent="0.3">
      <c r="A76" s="501" t="s">
        <v>477</v>
      </c>
      <c r="B76" s="502"/>
      <c r="C76" s="502"/>
      <c r="D76" s="502"/>
      <c r="E76" s="502"/>
      <c r="F76" s="591">
        <v>25000</v>
      </c>
      <c r="G76" s="592"/>
      <c r="H76" s="591">
        <v>1</v>
      </c>
      <c r="I76" s="592"/>
      <c r="J76" s="115">
        <f>F76*H76</f>
        <v>25000</v>
      </c>
      <c r="K76" s="316">
        <v>50000</v>
      </c>
      <c r="L76" s="316">
        <v>50000</v>
      </c>
      <c r="M76" s="233"/>
      <c r="N76" s="233"/>
      <c r="O76" s="173"/>
      <c r="P76" s="173"/>
      <c r="Q76" s="173"/>
    </row>
    <row r="77" spans="1:17" s="104" customFormat="1" ht="20.399999999999999" customHeight="1" thickBot="1" x14ac:dyDescent="0.3">
      <c r="A77" s="556" t="s">
        <v>311</v>
      </c>
      <c r="B77" s="557"/>
      <c r="C77" s="557"/>
      <c r="D77" s="557"/>
      <c r="E77" s="557"/>
      <c r="F77" s="558" t="s">
        <v>35</v>
      </c>
      <c r="G77" s="558"/>
      <c r="H77" s="558" t="s">
        <v>35</v>
      </c>
      <c r="I77" s="558"/>
      <c r="J77" s="101">
        <f>SUM(J73:J76)</f>
        <v>187500</v>
      </c>
      <c r="K77" s="101">
        <f>SUM(K73:K76)</f>
        <v>157000</v>
      </c>
      <c r="L77" s="101">
        <f>SUM(L73:L76)</f>
        <v>142000</v>
      </c>
      <c r="M77" s="233"/>
      <c r="N77" s="233"/>
      <c r="O77" s="173">
        <f>'Раздел 1'!F117</f>
        <v>187500</v>
      </c>
      <c r="P77" s="173">
        <f>'Раздел 1'!G117</f>
        <v>157000</v>
      </c>
      <c r="Q77" s="173">
        <f>'Раздел 1'!H117</f>
        <v>142000</v>
      </c>
    </row>
    <row r="78" spans="1:17" s="67" customFormat="1" ht="12" customHeight="1" x14ac:dyDescent="0.25">
      <c r="A78" s="71"/>
      <c r="B78" s="70"/>
      <c r="C78" s="70"/>
      <c r="D78" s="70"/>
      <c r="E78" s="70"/>
      <c r="F78" s="70"/>
      <c r="G78" s="70"/>
      <c r="H78" s="70"/>
      <c r="I78" s="70"/>
      <c r="J78" s="164">
        <f>J77-O77</f>
        <v>0</v>
      </c>
      <c r="K78" s="164">
        <f>K77-P77</f>
        <v>0</v>
      </c>
      <c r="L78" s="164">
        <f>L77-Q77</f>
        <v>0</v>
      </c>
      <c r="M78" s="236"/>
      <c r="N78" s="229"/>
      <c r="O78" s="169"/>
      <c r="P78" s="169"/>
      <c r="Q78" s="169"/>
    </row>
    <row r="79" spans="1:17" s="73" customFormat="1" ht="13.8" x14ac:dyDescent="0.25">
      <c r="A79" s="69" t="s">
        <v>287</v>
      </c>
      <c r="B79" s="582" t="s">
        <v>499</v>
      </c>
      <c r="C79" s="582"/>
      <c r="D79" s="582"/>
      <c r="E79" s="582"/>
      <c r="F79" s="582"/>
      <c r="G79" s="582"/>
      <c r="H79" s="582"/>
      <c r="I79" s="582"/>
      <c r="J79" s="582"/>
      <c r="K79" s="303"/>
      <c r="L79" s="303"/>
      <c r="M79" s="230"/>
      <c r="N79" s="230"/>
      <c r="O79" s="170"/>
      <c r="P79" s="170"/>
      <c r="Q79" s="170"/>
    </row>
    <row r="80" spans="1:17" s="74" customFormat="1" ht="12" customHeight="1" x14ac:dyDescent="0.25">
      <c r="A80" s="71"/>
      <c r="B80" s="71"/>
      <c r="C80" s="71"/>
      <c r="D80" s="71"/>
      <c r="E80" s="71"/>
      <c r="F80" s="71"/>
      <c r="G80" s="71"/>
      <c r="H80" s="71"/>
      <c r="I80" s="71"/>
      <c r="J80" s="71"/>
      <c r="K80" s="71"/>
      <c r="L80" s="71"/>
      <c r="M80" s="231"/>
      <c r="N80" s="231"/>
      <c r="O80" s="171"/>
      <c r="P80" s="171"/>
      <c r="Q80" s="171"/>
    </row>
    <row r="81" spans="1:17" s="73" customFormat="1" ht="13.8" x14ac:dyDescent="0.25">
      <c r="A81" s="69" t="s">
        <v>288</v>
      </c>
      <c r="B81" s="69"/>
      <c r="C81" s="69"/>
      <c r="D81" s="69"/>
      <c r="E81" s="587" t="s">
        <v>334</v>
      </c>
      <c r="F81" s="587"/>
      <c r="G81" s="587"/>
      <c r="H81" s="587"/>
      <c r="I81" s="587"/>
      <c r="J81" s="587"/>
      <c r="K81" s="69"/>
      <c r="L81" s="69"/>
      <c r="M81" s="230"/>
      <c r="N81" s="230"/>
      <c r="O81" s="170"/>
      <c r="P81" s="170"/>
      <c r="Q81" s="170"/>
    </row>
    <row r="82" spans="1:17" s="74" customFormat="1" ht="12" customHeight="1" thickBot="1" x14ac:dyDescent="0.3">
      <c r="A82" s="71"/>
      <c r="B82" s="71"/>
      <c r="C82" s="71"/>
      <c r="D82" s="71"/>
      <c r="E82" s="71"/>
      <c r="F82" s="71"/>
      <c r="G82" s="71"/>
      <c r="H82" s="71"/>
      <c r="I82" s="71"/>
      <c r="J82" s="71"/>
      <c r="K82" s="71"/>
      <c r="L82" s="71"/>
      <c r="M82" s="231"/>
      <c r="N82" s="231"/>
      <c r="O82" s="171"/>
      <c r="P82" s="171"/>
      <c r="Q82" s="171"/>
    </row>
    <row r="83" spans="1:17" s="67" customFormat="1" ht="39" customHeight="1" thickBot="1" x14ac:dyDescent="0.3">
      <c r="A83" s="565" t="s">
        <v>0</v>
      </c>
      <c r="B83" s="560"/>
      <c r="C83" s="560"/>
      <c r="D83" s="560"/>
      <c r="E83" s="560"/>
      <c r="F83" s="554" t="s">
        <v>335</v>
      </c>
      <c r="G83" s="554"/>
      <c r="H83" s="554" t="s">
        <v>336</v>
      </c>
      <c r="I83" s="554"/>
      <c r="J83" s="105" t="s">
        <v>337</v>
      </c>
      <c r="K83" s="292" t="s">
        <v>337</v>
      </c>
      <c r="L83" s="292" t="s">
        <v>337</v>
      </c>
      <c r="M83" s="229"/>
      <c r="N83" s="229"/>
      <c r="O83" s="169"/>
      <c r="P83" s="169"/>
      <c r="Q83" s="169"/>
    </row>
    <row r="84" spans="1:17" s="85" customFormat="1" x14ac:dyDescent="0.25">
      <c r="A84" s="593">
        <v>1</v>
      </c>
      <c r="B84" s="594"/>
      <c r="C84" s="594"/>
      <c r="D84" s="594"/>
      <c r="E84" s="594"/>
      <c r="F84" s="513">
        <v>2</v>
      </c>
      <c r="G84" s="513"/>
      <c r="H84" s="513">
        <v>3</v>
      </c>
      <c r="I84" s="513"/>
      <c r="J84" s="287" t="s">
        <v>338</v>
      </c>
      <c r="K84" s="287" t="s">
        <v>338</v>
      </c>
      <c r="L84" s="287" t="s">
        <v>338</v>
      </c>
      <c r="M84" s="232"/>
      <c r="N84" s="232"/>
      <c r="O84" s="172"/>
      <c r="P84" s="172"/>
      <c r="Q84" s="172"/>
    </row>
    <row r="85" spans="1:17" s="104" customFormat="1" ht="15" customHeight="1" x14ac:dyDescent="0.25">
      <c r="A85" s="501" t="s">
        <v>500</v>
      </c>
      <c r="B85" s="502"/>
      <c r="C85" s="502"/>
      <c r="D85" s="502"/>
      <c r="E85" s="502"/>
      <c r="F85" s="589"/>
      <c r="G85" s="589"/>
      <c r="H85" s="590"/>
      <c r="I85" s="590"/>
      <c r="J85" s="115"/>
      <c r="K85" s="115"/>
      <c r="L85" s="115"/>
      <c r="M85" s="241">
        <v>26300</v>
      </c>
      <c r="N85" s="233"/>
      <c r="O85" s="173"/>
      <c r="P85" s="173"/>
      <c r="Q85" s="173"/>
    </row>
    <row r="86" spans="1:17" s="104" customFormat="1" ht="15" customHeight="1" x14ac:dyDescent="0.25">
      <c r="A86" s="501"/>
      <c r="B86" s="502"/>
      <c r="C86" s="502"/>
      <c r="D86" s="502"/>
      <c r="E86" s="502"/>
      <c r="F86" s="589"/>
      <c r="G86" s="589"/>
      <c r="H86" s="590"/>
      <c r="I86" s="590"/>
      <c r="J86" s="115"/>
      <c r="K86" s="115"/>
      <c r="L86" s="115"/>
      <c r="M86" s="241">
        <v>26300</v>
      </c>
      <c r="N86" s="233"/>
      <c r="O86" s="173"/>
      <c r="P86" s="173"/>
      <c r="Q86" s="173"/>
    </row>
    <row r="87" spans="1:17" s="104" customFormat="1" ht="15" customHeight="1" x14ac:dyDescent="0.25">
      <c r="A87" s="501"/>
      <c r="B87" s="502"/>
      <c r="C87" s="502"/>
      <c r="D87" s="502"/>
      <c r="E87" s="502"/>
      <c r="F87" s="589"/>
      <c r="G87" s="589"/>
      <c r="H87" s="555"/>
      <c r="I87" s="555"/>
      <c r="J87" s="115">
        <f>F87*H87</f>
        <v>0</v>
      </c>
      <c r="K87" s="115"/>
      <c r="L87" s="115"/>
      <c r="M87" s="241">
        <v>26300</v>
      </c>
      <c r="N87" s="233"/>
      <c r="O87" s="173"/>
      <c r="P87" s="173"/>
      <c r="Q87" s="173"/>
    </row>
    <row r="88" spans="1:17" s="104" customFormat="1" ht="15" customHeight="1" thickBot="1" x14ac:dyDescent="0.3">
      <c r="A88" s="578"/>
      <c r="B88" s="579"/>
      <c r="C88" s="579"/>
      <c r="D88" s="579"/>
      <c r="E88" s="579"/>
      <c r="F88" s="588"/>
      <c r="G88" s="588"/>
      <c r="H88" s="580"/>
      <c r="I88" s="580"/>
      <c r="J88" s="115">
        <f>F88*H88</f>
        <v>0</v>
      </c>
      <c r="K88" s="115"/>
      <c r="L88" s="115"/>
      <c r="M88" s="241">
        <v>26300</v>
      </c>
      <c r="N88" s="233"/>
      <c r="O88" s="173"/>
      <c r="P88" s="173"/>
      <c r="Q88" s="173"/>
    </row>
    <row r="89" spans="1:17" s="104" customFormat="1" ht="24" customHeight="1" thickBot="1" x14ac:dyDescent="0.3">
      <c r="A89" s="556" t="s">
        <v>311</v>
      </c>
      <c r="B89" s="557"/>
      <c r="C89" s="557"/>
      <c r="D89" s="557"/>
      <c r="E89" s="557"/>
      <c r="F89" s="558" t="s">
        <v>35</v>
      </c>
      <c r="G89" s="558"/>
      <c r="H89" s="558" t="s">
        <v>35</v>
      </c>
      <c r="I89" s="558"/>
      <c r="J89" s="101">
        <f>SUM(J85:J88)</f>
        <v>0</v>
      </c>
      <c r="K89" s="101">
        <f>SUM(K85:K88)</f>
        <v>0</v>
      </c>
      <c r="L89" s="101">
        <f>SUM(L85:L88)</f>
        <v>0</v>
      </c>
      <c r="M89" s="233"/>
      <c r="N89" s="233"/>
      <c r="O89" s="386">
        <f>'Раздел 1'!F120</f>
        <v>0</v>
      </c>
      <c r="P89" s="174">
        <f>'Раздел 1'!G118</f>
        <v>0</v>
      </c>
      <c r="Q89" s="174">
        <f>'Раздел 1'!H118</f>
        <v>0</v>
      </c>
    </row>
    <row r="90" spans="1:17" s="67" customFormat="1" ht="12" customHeight="1" x14ac:dyDescent="0.25">
      <c r="A90" s="71"/>
      <c r="B90" s="70"/>
      <c r="C90" s="70"/>
      <c r="D90" s="70"/>
      <c r="E90" s="70"/>
      <c r="F90" s="70"/>
      <c r="G90" s="70"/>
      <c r="H90" s="70"/>
      <c r="I90" s="70"/>
      <c r="J90" s="210">
        <f>J89-O89</f>
        <v>0</v>
      </c>
      <c r="K90" s="210">
        <f>K89-P89</f>
        <v>0</v>
      </c>
      <c r="L90" s="210">
        <f>L89-Q89</f>
        <v>0</v>
      </c>
      <c r="M90" s="229"/>
      <c r="N90" s="229"/>
      <c r="O90" s="169"/>
      <c r="P90" s="169"/>
      <c r="Q90" s="169"/>
    </row>
    <row r="91" spans="1:17" s="67" customFormat="1" ht="13.8" x14ac:dyDescent="0.25">
      <c r="A91" s="508" t="s">
        <v>339</v>
      </c>
      <c r="B91" s="508"/>
      <c r="C91" s="508"/>
      <c r="D91" s="508"/>
      <c r="E91" s="508"/>
      <c r="F91" s="508"/>
      <c r="G91" s="508"/>
      <c r="H91" s="508"/>
      <c r="I91" s="508"/>
      <c r="J91" s="508"/>
      <c r="K91" s="281"/>
      <c r="L91" s="281"/>
      <c r="M91" s="229"/>
      <c r="N91" s="229"/>
      <c r="O91" s="169"/>
      <c r="P91" s="169"/>
      <c r="Q91" s="169"/>
    </row>
    <row r="92" spans="1:17" s="67" customFormat="1" ht="12" customHeight="1" x14ac:dyDescent="0.25">
      <c r="A92" s="71"/>
      <c r="B92" s="70"/>
      <c r="C92" s="70"/>
      <c r="D92" s="70"/>
      <c r="E92" s="70"/>
      <c r="F92" s="70"/>
      <c r="G92" s="70"/>
      <c r="H92" s="70"/>
      <c r="I92" s="70"/>
      <c r="J92" s="71"/>
      <c r="K92" s="71"/>
      <c r="L92" s="71"/>
      <c r="M92" s="229"/>
      <c r="N92" s="229"/>
      <c r="O92" s="169"/>
      <c r="P92" s="169"/>
      <c r="Q92" s="169"/>
    </row>
    <row r="93" spans="1:17" s="73" customFormat="1" ht="13.8" x14ac:dyDescent="0.25">
      <c r="A93" s="69" t="s">
        <v>287</v>
      </c>
      <c r="B93" s="582" t="s">
        <v>340</v>
      </c>
      <c r="C93" s="582"/>
      <c r="D93" s="582"/>
      <c r="E93" s="582"/>
      <c r="F93" s="582"/>
      <c r="G93" s="582"/>
      <c r="H93" s="582"/>
      <c r="I93" s="582"/>
      <c r="J93" s="582"/>
      <c r="K93" s="303"/>
      <c r="L93" s="303"/>
      <c r="M93" s="230"/>
      <c r="N93" s="230"/>
      <c r="O93" s="170"/>
      <c r="P93" s="170"/>
      <c r="Q93" s="170"/>
    </row>
    <row r="94" spans="1:17" s="74" customFormat="1" ht="12" customHeight="1" x14ac:dyDescent="0.25">
      <c r="A94" s="71"/>
      <c r="B94" s="71"/>
      <c r="C94" s="71"/>
      <c r="D94" s="71"/>
      <c r="E94" s="71"/>
      <c r="F94" s="71"/>
      <c r="G94" s="71"/>
      <c r="H94" s="71"/>
      <c r="I94" s="71"/>
      <c r="J94" s="71"/>
      <c r="K94" s="71"/>
      <c r="L94" s="71"/>
      <c r="M94" s="231"/>
      <c r="N94" s="231"/>
      <c r="O94" s="171"/>
      <c r="P94" s="171"/>
      <c r="Q94" s="171"/>
    </row>
    <row r="95" spans="1:17" s="73" customFormat="1" ht="13.8" x14ac:dyDescent="0.25">
      <c r="A95" s="69" t="s">
        <v>288</v>
      </c>
      <c r="B95" s="69"/>
      <c r="C95" s="69"/>
      <c r="D95" s="69"/>
      <c r="E95" s="587" t="s">
        <v>289</v>
      </c>
      <c r="F95" s="587"/>
      <c r="G95" s="587"/>
      <c r="H95" s="587"/>
      <c r="I95" s="587"/>
      <c r="J95" s="587"/>
      <c r="K95" s="69"/>
      <c r="L95" s="69"/>
      <c r="M95" s="230"/>
      <c r="N95" s="230"/>
      <c r="O95" s="170"/>
      <c r="P95" s="170"/>
      <c r="Q95" s="170"/>
    </row>
    <row r="96" spans="1:17" s="74" customFormat="1" ht="12" customHeight="1" thickBot="1" x14ac:dyDescent="0.3">
      <c r="A96" s="71"/>
      <c r="B96" s="71"/>
      <c r="C96" s="71"/>
      <c r="D96" s="71"/>
      <c r="E96" s="71"/>
      <c r="F96" s="71"/>
      <c r="G96" s="71"/>
      <c r="H96" s="71"/>
      <c r="I96" s="71"/>
      <c r="J96" s="71"/>
      <c r="K96" s="71"/>
      <c r="L96" s="71"/>
      <c r="M96" s="231"/>
      <c r="N96" s="231"/>
      <c r="O96" s="171"/>
      <c r="P96" s="171"/>
      <c r="Q96" s="171"/>
    </row>
    <row r="97" spans="1:17" s="67" customFormat="1" ht="42" customHeight="1" thickBot="1" x14ac:dyDescent="0.3">
      <c r="A97" s="565" t="s">
        <v>312</v>
      </c>
      <c r="B97" s="560"/>
      <c r="C97" s="560"/>
      <c r="D97" s="560"/>
      <c r="E97" s="560"/>
      <c r="F97" s="554" t="s">
        <v>341</v>
      </c>
      <c r="G97" s="554"/>
      <c r="H97" s="554" t="s">
        <v>342</v>
      </c>
      <c r="I97" s="554"/>
      <c r="J97" s="105" t="s">
        <v>343</v>
      </c>
      <c r="K97" s="292" t="s">
        <v>343</v>
      </c>
      <c r="L97" s="292" t="s">
        <v>343</v>
      </c>
      <c r="M97" s="229"/>
      <c r="N97" s="229"/>
      <c r="O97" s="169"/>
      <c r="P97" s="169"/>
      <c r="Q97" s="169"/>
    </row>
    <row r="98" spans="1:17" s="85" customFormat="1" x14ac:dyDescent="0.25">
      <c r="A98" s="581">
        <v>1</v>
      </c>
      <c r="B98" s="574"/>
      <c r="C98" s="574"/>
      <c r="D98" s="574"/>
      <c r="E98" s="574"/>
      <c r="F98" s="513">
        <v>2</v>
      </c>
      <c r="G98" s="513"/>
      <c r="H98" s="513">
        <v>3</v>
      </c>
      <c r="I98" s="513"/>
      <c r="J98" s="114" t="s">
        <v>344</v>
      </c>
      <c r="K98" s="287" t="s">
        <v>344</v>
      </c>
      <c r="L98" s="287" t="s">
        <v>344</v>
      </c>
      <c r="M98" s="232"/>
      <c r="N98" s="232"/>
      <c r="O98" s="172"/>
      <c r="P98" s="172"/>
      <c r="Q98" s="172"/>
    </row>
    <row r="99" spans="1:17" s="104" customFormat="1" ht="15" customHeight="1" x14ac:dyDescent="0.25">
      <c r="A99" s="520" t="s">
        <v>345</v>
      </c>
      <c r="B99" s="521"/>
      <c r="C99" s="521"/>
      <c r="D99" s="521"/>
      <c r="E99" s="521"/>
      <c r="F99" s="586">
        <f>(J99/H99)*100</f>
        <v>69900000</v>
      </c>
      <c r="G99" s="586"/>
      <c r="H99" s="555">
        <v>1.5</v>
      </c>
      <c r="I99" s="555"/>
      <c r="J99" s="115">
        <v>1048500</v>
      </c>
      <c r="K99" s="115">
        <v>1048500</v>
      </c>
      <c r="L99" s="115">
        <v>1048500</v>
      </c>
      <c r="M99" s="233"/>
      <c r="N99" s="233"/>
      <c r="O99" s="173">
        <f>'Раздел 1'!F124</f>
        <v>1719800</v>
      </c>
      <c r="P99" s="173">
        <f>'Раздел 1'!G124</f>
        <v>1706800</v>
      </c>
      <c r="Q99" s="173">
        <f>'Раздел 1'!H124</f>
        <v>1704800</v>
      </c>
    </row>
    <row r="100" spans="1:17" s="104" customFormat="1" ht="15" customHeight="1" x14ac:dyDescent="0.25">
      <c r="A100" s="520" t="s">
        <v>346</v>
      </c>
      <c r="B100" s="521"/>
      <c r="C100" s="521"/>
      <c r="D100" s="521"/>
      <c r="E100" s="521"/>
      <c r="F100" s="586">
        <f>(J100/H100)*100</f>
        <v>30513636.36363636</v>
      </c>
      <c r="G100" s="586"/>
      <c r="H100" s="555">
        <v>2.2000000000000002</v>
      </c>
      <c r="I100" s="555"/>
      <c r="J100" s="115">
        <v>671300</v>
      </c>
      <c r="K100" s="115">
        <v>658300</v>
      </c>
      <c r="L100" s="115">
        <v>656300</v>
      </c>
      <c r="M100" s="233"/>
      <c r="N100" s="233"/>
      <c r="O100" s="173">
        <f>'Раздел 1'!F126</f>
        <v>5400</v>
      </c>
      <c r="P100" s="173">
        <f>'Раздел 1'!G126</f>
        <v>5400</v>
      </c>
      <c r="Q100" s="173">
        <f>'Раздел 1'!H126</f>
        <v>5400</v>
      </c>
    </row>
    <row r="101" spans="1:17" s="104" customFormat="1" ht="15" customHeight="1" x14ac:dyDescent="0.25">
      <c r="A101" s="520" t="s">
        <v>345</v>
      </c>
      <c r="B101" s="521"/>
      <c r="C101" s="521"/>
      <c r="D101" s="521"/>
      <c r="E101" s="521"/>
      <c r="F101" s="586">
        <f>(J101/H101)*100</f>
        <v>346666.66666666663</v>
      </c>
      <c r="G101" s="586"/>
      <c r="H101" s="555">
        <v>1.5</v>
      </c>
      <c r="I101" s="555"/>
      <c r="J101" s="115">
        <v>5200</v>
      </c>
      <c r="K101" s="115">
        <v>5200</v>
      </c>
      <c r="L101" s="115">
        <v>5200</v>
      </c>
      <c r="M101" s="233"/>
      <c r="N101" s="233"/>
      <c r="O101" s="173">
        <f>'Раздел 1'!F127</f>
        <v>0</v>
      </c>
      <c r="P101" s="173"/>
      <c r="Q101" s="173"/>
    </row>
    <row r="102" spans="1:17" s="104" customFormat="1" ht="15" customHeight="1" thickBot="1" x14ac:dyDescent="0.3">
      <c r="A102" s="520" t="s">
        <v>346</v>
      </c>
      <c r="B102" s="521"/>
      <c r="C102" s="521"/>
      <c r="D102" s="521"/>
      <c r="E102" s="521"/>
      <c r="F102" s="586">
        <f>(J102/H102)*100</f>
        <v>9090.9090909090901</v>
      </c>
      <c r="G102" s="586"/>
      <c r="H102" s="555">
        <v>2.2000000000000002</v>
      </c>
      <c r="I102" s="555"/>
      <c r="J102" s="115">
        <v>200</v>
      </c>
      <c r="K102" s="115">
        <v>200</v>
      </c>
      <c r="L102" s="115">
        <v>200</v>
      </c>
      <c r="M102" s="233"/>
      <c r="N102" s="233"/>
      <c r="O102" s="173"/>
      <c r="P102" s="173"/>
      <c r="Q102" s="173"/>
    </row>
    <row r="103" spans="1:17" s="104" customFormat="1" ht="22.2" customHeight="1" thickBot="1" x14ac:dyDescent="0.3">
      <c r="A103" s="576" t="s">
        <v>311</v>
      </c>
      <c r="B103" s="577"/>
      <c r="C103" s="577"/>
      <c r="D103" s="577"/>
      <c r="E103" s="577"/>
      <c r="F103" s="558" t="s">
        <v>35</v>
      </c>
      <c r="G103" s="558"/>
      <c r="H103" s="558" t="s">
        <v>35</v>
      </c>
      <c r="I103" s="558"/>
      <c r="J103" s="101">
        <f>SUM(J99:J102)</f>
        <v>1725200</v>
      </c>
      <c r="K103" s="101">
        <f>SUM(K99:K102)</f>
        <v>1712200</v>
      </c>
      <c r="L103" s="101">
        <f>SUM(L99:L102)</f>
        <v>1710200</v>
      </c>
      <c r="M103" s="233"/>
      <c r="N103" s="233"/>
      <c r="O103" s="318">
        <f>SUM(O99:O102)</f>
        <v>1725200</v>
      </c>
      <c r="P103" s="323">
        <f>SUM(P99:P102)</f>
        <v>1712200</v>
      </c>
      <c r="Q103" s="323">
        <f>SUM(Q99:Q102)</f>
        <v>1710200</v>
      </c>
    </row>
    <row r="104" spans="1:17" s="67" customFormat="1" ht="12" customHeight="1" x14ac:dyDescent="0.25">
      <c r="A104" s="71"/>
      <c r="B104" s="70"/>
      <c r="C104" s="70"/>
      <c r="D104" s="70"/>
      <c r="E104" s="70"/>
      <c r="F104" s="70"/>
      <c r="G104" s="70"/>
      <c r="H104" s="70"/>
      <c r="I104" s="70"/>
      <c r="J104" s="164">
        <f>J103-O103</f>
        <v>0</v>
      </c>
      <c r="K104" s="164">
        <f>K103-P103</f>
        <v>0</v>
      </c>
      <c r="L104" s="164">
        <f>L103-Q103</f>
        <v>0</v>
      </c>
      <c r="M104" s="229"/>
      <c r="N104" s="229"/>
      <c r="O104" s="169"/>
      <c r="P104" s="169"/>
      <c r="Q104" s="169"/>
    </row>
    <row r="105" spans="1:17" s="67" customFormat="1" ht="13.8" x14ac:dyDescent="0.25">
      <c r="A105" s="508" t="s">
        <v>347</v>
      </c>
      <c r="B105" s="508"/>
      <c r="C105" s="508"/>
      <c r="D105" s="508"/>
      <c r="E105" s="508"/>
      <c r="F105" s="508"/>
      <c r="G105" s="508"/>
      <c r="H105" s="508"/>
      <c r="I105" s="508"/>
      <c r="J105" s="508"/>
      <c r="K105" s="281"/>
      <c r="L105" s="281"/>
      <c r="M105" s="229"/>
      <c r="N105" s="229"/>
      <c r="O105" s="169"/>
      <c r="P105" s="169"/>
      <c r="Q105" s="169"/>
    </row>
    <row r="106" spans="1:17" s="67" customFormat="1" ht="12" customHeight="1" x14ac:dyDescent="0.25">
      <c r="A106" s="71"/>
      <c r="B106" s="70"/>
      <c r="C106" s="70"/>
      <c r="D106" s="70"/>
      <c r="E106" s="70"/>
      <c r="F106" s="70"/>
      <c r="G106" s="70"/>
      <c r="H106" s="70"/>
      <c r="I106" s="70"/>
      <c r="J106" s="71"/>
      <c r="K106" s="71"/>
      <c r="L106" s="71"/>
      <c r="M106" s="229"/>
      <c r="N106" s="229"/>
      <c r="O106" s="169"/>
      <c r="P106" s="169"/>
      <c r="Q106" s="169"/>
    </row>
    <row r="107" spans="1:17" s="73" customFormat="1" ht="13.8" x14ac:dyDescent="0.25">
      <c r="A107" s="69" t="s">
        <v>287</v>
      </c>
      <c r="B107" s="582" t="s">
        <v>348</v>
      </c>
      <c r="C107" s="582"/>
      <c r="D107" s="582"/>
      <c r="E107" s="582"/>
      <c r="F107" s="582"/>
      <c r="G107" s="582"/>
      <c r="H107" s="582"/>
      <c r="I107" s="582"/>
      <c r="J107" s="582"/>
      <c r="K107" s="303"/>
      <c r="L107" s="303"/>
      <c r="M107" s="230"/>
      <c r="N107" s="230"/>
      <c r="O107" s="170"/>
      <c r="P107" s="170"/>
      <c r="Q107" s="170"/>
    </row>
    <row r="108" spans="1:17" s="74" customFormat="1" ht="12" customHeight="1" x14ac:dyDescent="0.25">
      <c r="A108" s="71"/>
      <c r="B108" s="71"/>
      <c r="C108" s="71"/>
      <c r="D108" s="71"/>
      <c r="E108" s="71"/>
      <c r="F108" s="71"/>
      <c r="G108" s="71"/>
      <c r="H108" s="71"/>
      <c r="I108" s="71"/>
      <c r="J108" s="71"/>
      <c r="K108" s="71"/>
      <c r="L108" s="71"/>
      <c r="M108" s="231"/>
      <c r="N108" s="231"/>
      <c r="O108" s="171"/>
      <c r="P108" s="171"/>
      <c r="Q108" s="171"/>
    </row>
    <row r="109" spans="1:17" s="73" customFormat="1" ht="13.8" x14ac:dyDescent="0.25">
      <c r="A109" s="69" t="s">
        <v>288</v>
      </c>
      <c r="B109" s="69"/>
      <c r="C109" s="69"/>
      <c r="D109" s="69"/>
      <c r="E109" s="587" t="s">
        <v>289</v>
      </c>
      <c r="F109" s="587"/>
      <c r="G109" s="587"/>
      <c r="H109" s="587"/>
      <c r="I109" s="587"/>
      <c r="J109" s="587"/>
      <c r="K109" s="69"/>
      <c r="L109" s="69"/>
      <c r="M109" s="230"/>
      <c r="N109" s="230"/>
      <c r="O109" s="170"/>
      <c r="P109" s="170"/>
      <c r="Q109" s="170"/>
    </row>
    <row r="110" spans="1:17" s="74" customFormat="1" ht="12" customHeight="1" thickBot="1" x14ac:dyDescent="0.3">
      <c r="A110" s="71"/>
      <c r="B110" s="71"/>
      <c r="C110" s="71"/>
      <c r="D110" s="71"/>
      <c r="E110" s="71"/>
      <c r="F110" s="71"/>
      <c r="G110" s="71"/>
      <c r="H110" s="71"/>
      <c r="I110" s="71"/>
      <c r="J110" s="71"/>
      <c r="K110" s="71"/>
      <c r="L110" s="71"/>
      <c r="M110" s="231"/>
      <c r="N110" s="231"/>
      <c r="O110" s="171"/>
      <c r="P110" s="171"/>
      <c r="Q110" s="171"/>
    </row>
    <row r="111" spans="1:17" s="67" customFormat="1" ht="42" customHeight="1" thickBot="1" x14ac:dyDescent="0.3">
      <c r="A111" s="565" t="s">
        <v>312</v>
      </c>
      <c r="B111" s="560"/>
      <c r="C111" s="560"/>
      <c r="D111" s="560"/>
      <c r="E111" s="560"/>
      <c r="F111" s="554" t="s">
        <v>341</v>
      </c>
      <c r="G111" s="554"/>
      <c r="H111" s="554" t="s">
        <v>349</v>
      </c>
      <c r="I111" s="554"/>
      <c r="J111" s="105" t="s">
        <v>316</v>
      </c>
      <c r="K111" s="292" t="s">
        <v>316</v>
      </c>
      <c r="L111" s="292" t="s">
        <v>316</v>
      </c>
      <c r="M111" s="229"/>
      <c r="N111" s="229"/>
      <c r="O111" s="169"/>
      <c r="P111" s="169"/>
      <c r="Q111" s="169"/>
    </row>
    <row r="112" spans="1:17" s="85" customFormat="1" x14ac:dyDescent="0.25">
      <c r="A112" s="581">
        <v>1</v>
      </c>
      <c r="B112" s="574"/>
      <c r="C112" s="574"/>
      <c r="D112" s="574"/>
      <c r="E112" s="574"/>
      <c r="F112" s="513">
        <v>2</v>
      </c>
      <c r="G112" s="513"/>
      <c r="H112" s="513"/>
      <c r="I112" s="513"/>
      <c r="J112" s="114"/>
      <c r="K112" s="287"/>
      <c r="L112" s="287"/>
      <c r="M112" s="232"/>
      <c r="N112" s="232"/>
      <c r="O112" s="172"/>
      <c r="P112" s="172"/>
      <c r="Q112" s="172"/>
    </row>
    <row r="113" spans="1:17" s="104" customFormat="1" ht="15.75" customHeight="1" thickBot="1" x14ac:dyDescent="0.3">
      <c r="A113" s="584" t="s">
        <v>350</v>
      </c>
      <c r="B113" s="585"/>
      <c r="C113" s="585"/>
      <c r="D113" s="585"/>
      <c r="E113" s="585"/>
      <c r="F113" s="586">
        <f>(J113/H113)*100</f>
        <v>0</v>
      </c>
      <c r="G113" s="586"/>
      <c r="H113" s="555">
        <v>17.3</v>
      </c>
      <c r="I113" s="555"/>
      <c r="J113" s="115"/>
      <c r="K113" s="115"/>
      <c r="L113" s="115"/>
      <c r="M113" s="233"/>
      <c r="N113" s="233"/>
      <c r="O113" s="173"/>
      <c r="P113" s="173"/>
      <c r="Q113" s="173"/>
    </row>
    <row r="114" spans="1:17" s="104" customFormat="1" ht="15.75" customHeight="1" thickBot="1" x14ac:dyDescent="0.3">
      <c r="A114" s="520" t="s">
        <v>351</v>
      </c>
      <c r="B114" s="521"/>
      <c r="C114" s="521"/>
      <c r="D114" s="521"/>
      <c r="E114" s="521"/>
      <c r="F114" s="558" t="s">
        <v>35</v>
      </c>
      <c r="G114" s="558"/>
      <c r="H114" s="555"/>
      <c r="I114" s="555"/>
      <c r="J114" s="115"/>
      <c r="K114" s="115"/>
      <c r="L114" s="115"/>
      <c r="M114" s="233"/>
      <c r="N114" s="233"/>
      <c r="O114" s="173">
        <f>'Раздел 1'!F131</f>
        <v>0</v>
      </c>
      <c r="P114" s="173"/>
      <c r="Q114" s="173"/>
    </row>
    <row r="115" spans="1:17" s="104" customFormat="1" ht="22.2" customHeight="1" thickBot="1" x14ac:dyDescent="0.3">
      <c r="A115" s="576" t="s">
        <v>311</v>
      </c>
      <c r="B115" s="577"/>
      <c r="C115" s="577"/>
      <c r="D115" s="577"/>
      <c r="E115" s="577"/>
      <c r="F115" s="497"/>
      <c r="G115" s="497"/>
      <c r="H115" s="497"/>
      <c r="I115" s="497"/>
      <c r="J115" s="116">
        <f>SUM(J113:J114)</f>
        <v>0</v>
      </c>
      <c r="K115" s="116">
        <f>SUM(K113:K114)</f>
        <v>0</v>
      </c>
      <c r="L115" s="116">
        <f>SUM(L113:L114)</f>
        <v>0</v>
      </c>
      <c r="M115" s="233"/>
      <c r="N115" s="233"/>
      <c r="O115" s="318">
        <f>SUM(O111:O114)</f>
        <v>0</v>
      </c>
      <c r="P115" s="317"/>
      <c r="Q115" s="317"/>
    </row>
    <row r="116" spans="1:17" s="104" customFormat="1" ht="15" customHeight="1" x14ac:dyDescent="0.25">
      <c r="A116" s="163"/>
      <c r="B116" s="163"/>
      <c r="C116" s="163"/>
      <c r="D116" s="163"/>
      <c r="E116" s="163"/>
      <c r="F116" s="163"/>
      <c r="G116" s="163"/>
      <c r="H116" s="163"/>
      <c r="I116" s="163"/>
      <c r="J116" s="164">
        <f>J115-O115</f>
        <v>0</v>
      </c>
      <c r="K116" s="164"/>
      <c r="L116" s="164"/>
      <c r="M116" s="233"/>
      <c r="N116" s="233"/>
      <c r="O116" s="173"/>
      <c r="P116" s="173"/>
      <c r="Q116" s="173"/>
    </row>
    <row r="117" spans="1:17" s="67" customFormat="1" ht="15" customHeight="1" x14ac:dyDescent="0.25">
      <c r="A117" s="507" t="s">
        <v>352</v>
      </c>
      <c r="B117" s="508"/>
      <c r="C117" s="508"/>
      <c r="D117" s="508"/>
      <c r="E117" s="508"/>
      <c r="F117" s="508"/>
      <c r="G117" s="508"/>
      <c r="H117" s="508"/>
      <c r="I117" s="508"/>
      <c r="J117" s="508"/>
      <c r="K117" s="281"/>
      <c r="L117" s="281"/>
      <c r="M117" s="229"/>
      <c r="N117" s="229"/>
      <c r="O117" s="169"/>
      <c r="P117" s="169"/>
      <c r="Q117" s="169"/>
    </row>
    <row r="118" spans="1:17" s="67" customFormat="1" ht="12" customHeight="1" x14ac:dyDescent="0.25">
      <c r="A118" s="71"/>
      <c r="B118" s="70"/>
      <c r="C118" s="70"/>
      <c r="D118" s="70"/>
      <c r="E118" s="70"/>
      <c r="F118" s="70"/>
      <c r="G118" s="70"/>
      <c r="H118" s="70"/>
      <c r="I118" s="70"/>
      <c r="J118" s="71"/>
      <c r="K118" s="71"/>
      <c r="L118" s="71"/>
      <c r="M118" s="229"/>
      <c r="N118" s="229"/>
      <c r="O118" s="169"/>
      <c r="P118" s="169"/>
      <c r="Q118" s="169"/>
    </row>
    <row r="119" spans="1:17" s="73" customFormat="1" ht="15" customHeight="1" x14ac:dyDescent="0.25">
      <c r="A119" s="69" t="s">
        <v>287</v>
      </c>
      <c r="B119" s="582" t="s">
        <v>149</v>
      </c>
      <c r="C119" s="582"/>
      <c r="D119" s="582"/>
      <c r="E119" s="582"/>
      <c r="F119" s="582"/>
      <c r="G119" s="582"/>
      <c r="H119" s="582"/>
      <c r="I119" s="582"/>
      <c r="J119" s="582"/>
      <c r="K119" s="303"/>
      <c r="L119" s="303"/>
      <c r="M119" s="230"/>
      <c r="N119" s="230"/>
      <c r="O119" s="170"/>
      <c r="P119" s="170"/>
      <c r="Q119" s="170"/>
    </row>
    <row r="120" spans="1:17" s="74" customFormat="1" ht="7.5" customHeight="1" x14ac:dyDescent="0.25">
      <c r="A120" s="71"/>
      <c r="B120" s="71"/>
      <c r="C120" s="71"/>
      <c r="D120" s="71"/>
      <c r="E120" s="71"/>
      <c r="F120" s="71"/>
      <c r="G120" s="71"/>
      <c r="H120" s="71"/>
      <c r="I120" s="71"/>
      <c r="J120" s="71"/>
      <c r="K120" s="71"/>
      <c r="L120" s="71"/>
      <c r="M120" s="231"/>
      <c r="N120" s="231"/>
      <c r="O120" s="171"/>
      <c r="P120" s="171"/>
      <c r="Q120" s="171"/>
    </row>
    <row r="121" spans="1:17" s="73" customFormat="1" ht="28.5" customHeight="1" x14ac:dyDescent="0.25">
      <c r="A121" s="69" t="s">
        <v>288</v>
      </c>
      <c r="B121" s="69"/>
      <c r="C121" s="69"/>
      <c r="D121" s="69"/>
      <c r="E121" s="583" t="s">
        <v>353</v>
      </c>
      <c r="F121" s="583"/>
      <c r="G121" s="583"/>
      <c r="H121" s="583"/>
      <c r="I121" s="583"/>
      <c r="J121" s="583"/>
      <c r="K121" s="304"/>
      <c r="L121" s="304"/>
      <c r="M121" s="230"/>
      <c r="N121" s="230"/>
      <c r="O121" s="170"/>
      <c r="P121" s="170"/>
      <c r="Q121" s="170"/>
    </row>
    <row r="122" spans="1:17" s="74" customFormat="1" ht="12" customHeight="1" x14ac:dyDescent="0.25">
      <c r="A122" s="71"/>
      <c r="B122" s="71"/>
      <c r="C122" s="71"/>
      <c r="D122" s="71"/>
      <c r="E122" s="71"/>
      <c r="F122" s="71"/>
      <c r="G122" s="71"/>
      <c r="H122" s="71"/>
      <c r="I122" s="71"/>
      <c r="J122" s="71"/>
      <c r="K122" s="71"/>
      <c r="L122" s="71"/>
      <c r="M122" s="231"/>
      <c r="N122" s="231"/>
      <c r="O122" s="171"/>
      <c r="P122" s="171"/>
      <c r="Q122" s="171"/>
    </row>
    <row r="123" spans="1:17" s="67" customFormat="1" ht="15" customHeight="1" x14ac:dyDescent="0.25">
      <c r="A123" s="507" t="s">
        <v>354</v>
      </c>
      <c r="B123" s="508"/>
      <c r="C123" s="508"/>
      <c r="D123" s="508"/>
      <c r="E123" s="508"/>
      <c r="F123" s="508"/>
      <c r="G123" s="508"/>
      <c r="H123" s="508"/>
      <c r="I123" s="508"/>
      <c r="J123" s="508"/>
      <c r="K123" s="281"/>
      <c r="L123" s="281"/>
      <c r="M123" s="229"/>
      <c r="N123" s="229"/>
      <c r="O123" s="169"/>
      <c r="P123" s="169"/>
      <c r="Q123" s="169"/>
    </row>
    <row r="124" spans="1:17" s="74" customFormat="1" ht="12" customHeight="1" thickBot="1" x14ac:dyDescent="0.3">
      <c r="A124" s="71"/>
      <c r="B124" s="71"/>
      <c r="C124" s="71"/>
      <c r="D124" s="71"/>
      <c r="E124" s="71"/>
      <c r="F124" s="71"/>
      <c r="G124" s="71"/>
      <c r="H124" s="71"/>
      <c r="I124" s="71"/>
      <c r="J124" s="71"/>
      <c r="K124" s="71"/>
      <c r="L124" s="71"/>
      <c r="M124" s="231"/>
      <c r="N124" s="231"/>
      <c r="O124" s="171"/>
      <c r="P124" s="171"/>
      <c r="Q124" s="171"/>
    </row>
    <row r="125" spans="1:17" s="67" customFormat="1" ht="35.4" customHeight="1" thickBot="1" x14ac:dyDescent="0.3">
      <c r="A125" s="565" t="s">
        <v>312</v>
      </c>
      <c r="B125" s="560"/>
      <c r="C125" s="560"/>
      <c r="D125" s="554" t="s">
        <v>355</v>
      </c>
      <c r="E125" s="554"/>
      <c r="F125" s="554" t="s">
        <v>356</v>
      </c>
      <c r="G125" s="554"/>
      <c r="H125" s="554" t="s">
        <v>357</v>
      </c>
      <c r="I125" s="554"/>
      <c r="J125" s="105" t="s">
        <v>358</v>
      </c>
      <c r="K125" s="292" t="s">
        <v>358</v>
      </c>
      <c r="L125" s="292" t="s">
        <v>358</v>
      </c>
      <c r="M125" s="229"/>
      <c r="N125" s="229"/>
      <c r="O125" s="169"/>
      <c r="P125" s="169"/>
      <c r="Q125" s="169"/>
    </row>
    <row r="126" spans="1:17" s="85" customFormat="1" x14ac:dyDescent="0.25">
      <c r="A126" s="581">
        <v>1</v>
      </c>
      <c r="B126" s="574"/>
      <c r="C126" s="574"/>
      <c r="D126" s="513">
        <v>2</v>
      </c>
      <c r="E126" s="513"/>
      <c r="F126" s="513">
        <v>3</v>
      </c>
      <c r="G126" s="513"/>
      <c r="H126" s="513">
        <v>4</v>
      </c>
      <c r="I126" s="513"/>
      <c r="J126" s="114" t="s">
        <v>359</v>
      </c>
      <c r="K126" s="287" t="s">
        <v>359</v>
      </c>
      <c r="L126" s="287" t="s">
        <v>359</v>
      </c>
      <c r="M126" s="232"/>
      <c r="N126" s="232"/>
      <c r="O126" s="172"/>
      <c r="P126" s="172"/>
      <c r="Q126" s="172"/>
    </row>
    <row r="127" spans="1:17" s="85" customFormat="1" x14ac:dyDescent="0.25">
      <c r="A127" s="262" t="s">
        <v>497</v>
      </c>
      <c r="B127" s="258"/>
      <c r="C127" s="258"/>
      <c r="D127" s="518"/>
      <c r="E127" s="519"/>
      <c r="F127" s="518"/>
      <c r="G127" s="519"/>
      <c r="H127" s="518"/>
      <c r="I127" s="519"/>
      <c r="J127" s="257"/>
      <c r="K127" s="288">
        <v>0</v>
      </c>
      <c r="L127" s="288">
        <v>0</v>
      </c>
      <c r="M127" s="232"/>
      <c r="N127" s="232"/>
      <c r="O127" s="172"/>
      <c r="P127" s="172"/>
      <c r="Q127" s="172"/>
    </row>
    <row r="128" spans="1:17" s="85" customFormat="1" x14ac:dyDescent="0.25">
      <c r="A128" s="501" t="s">
        <v>478</v>
      </c>
      <c r="B128" s="502"/>
      <c r="C128" s="503"/>
      <c r="D128" s="518">
        <v>2</v>
      </c>
      <c r="E128" s="519"/>
      <c r="F128" s="518">
        <v>12</v>
      </c>
      <c r="G128" s="519"/>
      <c r="H128" s="518">
        <v>1166.67</v>
      </c>
      <c r="I128" s="519"/>
      <c r="J128" s="339">
        <v>28000</v>
      </c>
      <c r="K128" s="339">
        <v>28000</v>
      </c>
      <c r="L128" s="339">
        <v>28000</v>
      </c>
      <c r="M128" s="232"/>
      <c r="N128" s="232"/>
      <c r="O128" s="172"/>
      <c r="P128" s="172"/>
      <c r="Q128" s="172"/>
    </row>
    <row r="129" spans="1:18" s="104" customFormat="1" ht="16.5" customHeight="1" x14ac:dyDescent="0.25">
      <c r="A129" s="501" t="s">
        <v>478</v>
      </c>
      <c r="B129" s="502"/>
      <c r="C129" s="503"/>
      <c r="D129" s="505">
        <v>4</v>
      </c>
      <c r="E129" s="506"/>
      <c r="F129" s="505">
        <v>12</v>
      </c>
      <c r="G129" s="506"/>
      <c r="H129" s="505">
        <v>270.89999999999998</v>
      </c>
      <c r="I129" s="506"/>
      <c r="J129" s="339">
        <v>13003.2</v>
      </c>
      <c r="K129" s="339">
        <v>13003.2</v>
      </c>
      <c r="L129" s="339">
        <v>13003.2</v>
      </c>
      <c r="M129" s="241">
        <v>26300</v>
      </c>
      <c r="N129" s="233"/>
      <c r="O129" s="173"/>
      <c r="P129" s="173"/>
      <c r="Q129" s="173"/>
    </row>
    <row r="130" spans="1:18" s="104" customFormat="1" ht="16.5" customHeight="1" x14ac:dyDescent="0.25">
      <c r="A130" s="501" t="s">
        <v>360</v>
      </c>
      <c r="B130" s="502"/>
      <c r="C130" s="502"/>
      <c r="D130" s="555">
        <v>0</v>
      </c>
      <c r="E130" s="555"/>
      <c r="F130" s="555">
        <v>7332</v>
      </c>
      <c r="G130" s="555"/>
      <c r="H130" s="555">
        <v>0.56940000000000002</v>
      </c>
      <c r="I130" s="555"/>
      <c r="J130" s="339">
        <f>3600+17229.6</f>
        <v>20829.599999999999</v>
      </c>
      <c r="K130" s="339">
        <f>3600+17229.6</f>
        <v>20829.599999999999</v>
      </c>
      <c r="L130" s="339">
        <f>3600+17229.6</f>
        <v>20829.599999999999</v>
      </c>
      <c r="M130" s="241">
        <v>26300</v>
      </c>
      <c r="N130" s="233"/>
      <c r="O130" s="173"/>
      <c r="P130" s="173"/>
      <c r="Q130" s="173"/>
    </row>
    <row r="131" spans="1:18" s="104" customFormat="1" ht="16.5" customHeight="1" x14ac:dyDescent="0.25">
      <c r="A131" s="578" t="s">
        <v>361</v>
      </c>
      <c r="B131" s="579"/>
      <c r="C131" s="579"/>
      <c r="D131" s="580">
        <v>2</v>
      </c>
      <c r="E131" s="580"/>
      <c r="F131" s="580">
        <v>24</v>
      </c>
      <c r="G131" s="580"/>
      <c r="H131" s="580">
        <v>90.3</v>
      </c>
      <c r="I131" s="580"/>
      <c r="J131" s="339">
        <f>F131*H131</f>
        <v>2167.1999999999998</v>
      </c>
      <c r="K131" s="339">
        <v>2167.1999999999998</v>
      </c>
      <c r="L131" s="339">
        <v>2167.1999999999998</v>
      </c>
      <c r="M131" s="241">
        <v>26300</v>
      </c>
      <c r="N131" s="233"/>
      <c r="O131" s="173">
        <f>'Раздел 1'!F150</f>
        <v>64000</v>
      </c>
      <c r="P131" s="173">
        <f>'Раздел 1'!G150</f>
        <v>64000</v>
      </c>
      <c r="Q131" s="173">
        <f>'Раздел 1'!H150</f>
        <v>64000</v>
      </c>
    </row>
    <row r="132" spans="1:18" s="104" customFormat="1" ht="16.5" customHeight="1" thickBot="1" x14ac:dyDescent="0.3">
      <c r="A132" s="578" t="s">
        <v>479</v>
      </c>
      <c r="B132" s="579"/>
      <c r="C132" s="579"/>
      <c r="D132" s="580">
        <v>0</v>
      </c>
      <c r="E132" s="580"/>
      <c r="F132" s="580">
        <v>0</v>
      </c>
      <c r="G132" s="580"/>
      <c r="H132" s="580">
        <v>0</v>
      </c>
      <c r="I132" s="580"/>
      <c r="J132" s="339"/>
      <c r="K132" s="340"/>
      <c r="L132" s="340"/>
      <c r="M132" s="241">
        <v>26300</v>
      </c>
      <c r="N132" s="233"/>
      <c r="O132" s="173">
        <f>'Раздел 1'!F151</f>
        <v>0</v>
      </c>
      <c r="P132" s="173">
        <f>'Раздел 1'!G151</f>
        <v>0</v>
      </c>
      <c r="Q132" s="173">
        <f>'Раздел 1'!H151</f>
        <v>0</v>
      </c>
      <c r="R132" s="173">
        <f>'Раздел 1'!I151</f>
        <v>0</v>
      </c>
    </row>
    <row r="133" spans="1:18" s="104" customFormat="1" ht="21.6" customHeight="1" thickBot="1" x14ac:dyDescent="0.3">
      <c r="A133" s="576" t="s">
        <v>311</v>
      </c>
      <c r="B133" s="577"/>
      <c r="C133" s="577"/>
      <c r="D133" s="497" t="s">
        <v>35</v>
      </c>
      <c r="E133" s="497"/>
      <c r="F133" s="497" t="s">
        <v>35</v>
      </c>
      <c r="G133" s="497"/>
      <c r="H133" s="497" t="s">
        <v>35</v>
      </c>
      <c r="I133" s="497"/>
      <c r="J133" s="319">
        <f>SUM(J127:J132)</f>
        <v>63999.999999999993</v>
      </c>
      <c r="K133" s="117">
        <f>SUM(K127:K132)</f>
        <v>63999.999999999993</v>
      </c>
      <c r="L133" s="117">
        <f>SUM(L127:L132)</f>
        <v>63999.999999999993</v>
      </c>
      <c r="M133" s="233"/>
      <c r="N133" s="233"/>
      <c r="O133" s="323">
        <f>SUM(O131:O132)</f>
        <v>64000</v>
      </c>
      <c r="P133" s="323">
        <f>SUM(P131:P132)</f>
        <v>64000</v>
      </c>
      <c r="Q133" s="323">
        <f>SUM(Q131:Q132)</f>
        <v>64000</v>
      </c>
    </row>
    <row r="134" spans="1:18" s="74" customFormat="1" ht="12" customHeight="1" x14ac:dyDescent="0.25">
      <c r="A134" s="71"/>
      <c r="B134" s="71"/>
      <c r="C134" s="71"/>
      <c r="D134" s="71"/>
      <c r="E134" s="71"/>
      <c r="F134" s="71"/>
      <c r="G134" s="71"/>
      <c r="H134" s="71"/>
      <c r="I134" s="71"/>
      <c r="J134" s="164">
        <f>J133-O133</f>
        <v>0</v>
      </c>
      <c r="K134" s="164">
        <f>K133-P133</f>
        <v>0</v>
      </c>
      <c r="L134" s="164">
        <f>L133-Q133</f>
        <v>0</v>
      </c>
      <c r="M134" s="231"/>
      <c r="N134" s="231"/>
      <c r="O134" s="171"/>
      <c r="P134" s="171"/>
      <c r="Q134" s="171"/>
    </row>
    <row r="135" spans="1:18" s="67" customFormat="1" ht="15" customHeight="1" x14ac:dyDescent="0.25">
      <c r="A135" s="507" t="s">
        <v>558</v>
      </c>
      <c r="B135" s="508"/>
      <c r="C135" s="508"/>
      <c r="D135" s="508"/>
      <c r="E135" s="508"/>
      <c r="F135" s="508"/>
      <c r="G135" s="508"/>
      <c r="H135" s="508"/>
      <c r="I135" s="508"/>
      <c r="J135" s="508"/>
      <c r="K135" s="281"/>
      <c r="L135" s="281"/>
      <c r="M135" s="229"/>
      <c r="N135" s="229"/>
      <c r="O135" s="169"/>
      <c r="P135" s="169"/>
      <c r="Q135" s="169"/>
    </row>
    <row r="136" spans="1:18" s="74" customFormat="1" ht="12" customHeight="1" x14ac:dyDescent="0.25">
      <c r="A136" s="71"/>
      <c r="B136" s="71"/>
      <c r="C136" s="71"/>
      <c r="D136" s="71"/>
      <c r="E136" s="71"/>
      <c r="F136" s="71"/>
      <c r="G136" s="71"/>
      <c r="H136" s="71"/>
      <c r="I136" s="71"/>
      <c r="J136" s="71"/>
      <c r="K136" s="71"/>
      <c r="L136" s="71"/>
      <c r="M136" s="231"/>
      <c r="N136" s="231"/>
      <c r="O136" s="171"/>
      <c r="P136" s="171"/>
      <c r="Q136" s="171"/>
    </row>
    <row r="137" spans="1:18" s="67" customFormat="1" ht="27.75" customHeight="1" x14ac:dyDescent="0.25">
      <c r="A137" s="118" t="s">
        <v>170</v>
      </c>
      <c r="B137" s="570" t="s">
        <v>312</v>
      </c>
      <c r="C137" s="570"/>
      <c r="D137" s="570"/>
      <c r="E137" s="570"/>
      <c r="F137" s="571" t="s">
        <v>362</v>
      </c>
      <c r="G137" s="572"/>
      <c r="H137" s="572"/>
      <c r="I137" s="573"/>
      <c r="J137" s="571" t="s">
        <v>465</v>
      </c>
      <c r="K137" s="573"/>
      <c r="L137" s="282" t="s">
        <v>466</v>
      </c>
      <c r="M137" s="229"/>
      <c r="N137" s="229"/>
      <c r="O137" s="169"/>
      <c r="P137" s="169"/>
      <c r="Q137" s="169"/>
    </row>
    <row r="138" spans="1:18" s="85" customFormat="1" ht="12.75" customHeight="1" x14ac:dyDescent="0.25">
      <c r="A138" s="119">
        <v>1</v>
      </c>
      <c r="B138" s="561">
        <v>2</v>
      </c>
      <c r="C138" s="561"/>
      <c r="D138" s="561"/>
      <c r="E138" s="561"/>
      <c r="F138" s="518">
        <v>3</v>
      </c>
      <c r="G138" s="563"/>
      <c r="H138" s="563"/>
      <c r="I138" s="519"/>
      <c r="J138" s="518">
        <v>4</v>
      </c>
      <c r="K138" s="519"/>
      <c r="L138" s="290" t="s">
        <v>467</v>
      </c>
      <c r="M138" s="232"/>
      <c r="N138" s="232"/>
      <c r="O138" s="172"/>
      <c r="P138" s="172"/>
      <c r="Q138" s="172"/>
    </row>
    <row r="139" spans="1:18" s="104" customFormat="1" ht="12.75" customHeight="1" x14ac:dyDescent="0.25">
      <c r="A139" s="120"/>
      <c r="B139" s="562"/>
      <c r="C139" s="562"/>
      <c r="D139" s="562"/>
      <c r="E139" s="562"/>
      <c r="F139" s="518"/>
      <c r="G139" s="563"/>
      <c r="H139" s="563"/>
      <c r="I139" s="519"/>
      <c r="J139" s="518"/>
      <c r="K139" s="519"/>
      <c r="L139" s="115"/>
      <c r="M139" s="233"/>
      <c r="N139" s="233"/>
      <c r="O139" s="173"/>
      <c r="P139" s="173"/>
      <c r="Q139" s="173"/>
    </row>
    <row r="140" spans="1:18" s="104" customFormat="1" ht="12.75" customHeight="1" x14ac:dyDescent="0.25">
      <c r="A140" s="120"/>
      <c r="B140" s="562"/>
      <c r="C140" s="562"/>
      <c r="D140" s="562"/>
      <c r="E140" s="562"/>
      <c r="F140" s="518"/>
      <c r="G140" s="563"/>
      <c r="H140" s="563"/>
      <c r="I140" s="519"/>
      <c r="J140" s="518"/>
      <c r="K140" s="519"/>
      <c r="L140" s="289"/>
      <c r="M140" s="233"/>
      <c r="N140" s="233"/>
      <c r="O140" s="173">
        <f>'Раздел 1'!F153</f>
        <v>0</v>
      </c>
      <c r="P140" s="173">
        <f>'Раздел 1'!G153</f>
        <v>0</v>
      </c>
      <c r="Q140" s="173">
        <f>'Раздел 1'!H153</f>
        <v>0</v>
      </c>
    </row>
    <row r="141" spans="1:18" s="104" customFormat="1" ht="12.75" customHeight="1" x14ac:dyDescent="0.25">
      <c r="A141" s="120"/>
      <c r="B141" s="559"/>
      <c r="C141" s="559"/>
      <c r="D141" s="559"/>
      <c r="E141" s="559"/>
      <c r="F141" s="518"/>
      <c r="G141" s="563"/>
      <c r="H141" s="563"/>
      <c r="I141" s="519"/>
      <c r="J141" s="518">
        <f>SUM(J139:K140)</f>
        <v>0</v>
      </c>
      <c r="K141" s="519"/>
      <c r="L141" s="385">
        <f>SUM(L139:L140)</f>
        <v>0</v>
      </c>
      <c r="M141" s="233"/>
      <c r="N141" s="233"/>
      <c r="O141" s="173">
        <f t="shared" ref="O141:Q142" si="4">SUM(O139:O140)</f>
        <v>0</v>
      </c>
      <c r="P141" s="173">
        <f t="shared" si="4"/>
        <v>0</v>
      </c>
      <c r="Q141" s="173">
        <f t="shared" si="4"/>
        <v>0</v>
      </c>
    </row>
    <row r="142" spans="1:18" s="74" customFormat="1" ht="12" customHeight="1" x14ac:dyDescent="0.25">
      <c r="A142" s="71"/>
      <c r="B142" s="71"/>
      <c r="C142" s="71"/>
      <c r="D142" s="71"/>
      <c r="E142" s="71"/>
      <c r="F142" s="71"/>
      <c r="G142" s="71"/>
      <c r="H142" s="71"/>
      <c r="I142" s="71"/>
      <c r="J142" s="164">
        <f>J141-O141</f>
        <v>0</v>
      </c>
      <c r="K142" s="164">
        <f>K141-P141</f>
        <v>0</v>
      </c>
      <c r="L142" s="164">
        <f>L141-Q141</f>
        <v>0</v>
      </c>
      <c r="M142" s="231"/>
      <c r="N142" s="231"/>
      <c r="O142" s="171">
        <f t="shared" si="4"/>
        <v>0</v>
      </c>
      <c r="P142" s="171">
        <f t="shared" si="4"/>
        <v>0</v>
      </c>
      <c r="Q142" s="171">
        <f t="shared" si="4"/>
        <v>0</v>
      </c>
    </row>
    <row r="143" spans="1:18" s="67" customFormat="1" ht="13.8" x14ac:dyDescent="0.25">
      <c r="A143" s="507" t="s">
        <v>363</v>
      </c>
      <c r="B143" s="508"/>
      <c r="C143" s="508"/>
      <c r="D143" s="508"/>
      <c r="E143" s="508"/>
      <c r="F143" s="508"/>
      <c r="G143" s="508"/>
      <c r="H143" s="508"/>
      <c r="I143" s="508"/>
      <c r="J143" s="508"/>
      <c r="K143" s="281"/>
      <c r="L143" s="281"/>
      <c r="M143" s="229"/>
      <c r="N143" s="229"/>
      <c r="O143" s="169"/>
      <c r="P143" s="169"/>
      <c r="Q143" s="169"/>
    </row>
    <row r="144" spans="1:18" s="74" customFormat="1" ht="12" customHeight="1" thickBot="1" x14ac:dyDescent="0.3">
      <c r="A144" s="71"/>
      <c r="B144" s="71"/>
      <c r="C144" s="71"/>
      <c r="D144" s="71"/>
      <c r="E144" s="71"/>
      <c r="F144" s="71"/>
      <c r="G144" s="71"/>
      <c r="H144" s="71"/>
      <c r="I144" s="71"/>
      <c r="J144" s="71"/>
      <c r="K144" s="71"/>
      <c r="L144" s="71"/>
      <c r="M144" s="231"/>
      <c r="N144" s="231"/>
      <c r="O144" s="171"/>
      <c r="P144" s="171"/>
      <c r="Q144" s="171"/>
    </row>
    <row r="145" spans="1:17" s="67" customFormat="1" ht="42.6" customHeight="1" thickBot="1" x14ac:dyDescent="0.3">
      <c r="A145" s="565" t="s">
        <v>0</v>
      </c>
      <c r="B145" s="560"/>
      <c r="C145" s="560"/>
      <c r="D145" s="552" t="s">
        <v>364</v>
      </c>
      <c r="E145" s="560"/>
      <c r="F145" s="552" t="s">
        <v>365</v>
      </c>
      <c r="G145" s="553"/>
      <c r="H145" s="560" t="s">
        <v>366</v>
      </c>
      <c r="I145" s="553"/>
      <c r="J145" s="238" t="s">
        <v>316</v>
      </c>
      <c r="K145" s="238" t="s">
        <v>316</v>
      </c>
      <c r="L145" s="238" t="s">
        <v>316</v>
      </c>
      <c r="M145" s="229"/>
      <c r="N145" s="229"/>
      <c r="O145" s="169"/>
      <c r="P145" s="169"/>
      <c r="Q145" s="169"/>
    </row>
    <row r="146" spans="1:17" s="85" customFormat="1" x14ac:dyDescent="0.25">
      <c r="A146" s="511">
        <v>1</v>
      </c>
      <c r="B146" s="512"/>
      <c r="C146" s="512"/>
      <c r="D146" s="513">
        <v>2</v>
      </c>
      <c r="E146" s="513"/>
      <c r="F146" s="513">
        <v>3</v>
      </c>
      <c r="G146" s="513"/>
      <c r="H146" s="574">
        <v>4</v>
      </c>
      <c r="I146" s="575"/>
      <c r="J146" s="211" t="s">
        <v>367</v>
      </c>
      <c r="K146" s="280" t="s">
        <v>367</v>
      </c>
      <c r="L146" s="280" t="s">
        <v>367</v>
      </c>
      <c r="M146" s="232"/>
      <c r="N146" s="232"/>
      <c r="O146" s="172"/>
      <c r="P146" s="172"/>
      <c r="Q146" s="172"/>
    </row>
    <row r="147" spans="1:17" s="85" customFormat="1" x14ac:dyDescent="0.25">
      <c r="A147" s="529" t="s">
        <v>407</v>
      </c>
      <c r="B147" s="530"/>
      <c r="C147" s="531"/>
      <c r="D147" s="254"/>
      <c r="E147" s="255"/>
      <c r="F147" s="254"/>
      <c r="G147" s="256"/>
      <c r="H147" s="255"/>
      <c r="I147" s="256"/>
      <c r="J147" s="261"/>
      <c r="K147" s="261"/>
      <c r="L147" s="261"/>
      <c r="M147" s="232"/>
      <c r="N147" s="232"/>
      <c r="O147" s="172"/>
      <c r="P147" s="172"/>
      <c r="Q147" s="172"/>
    </row>
    <row r="148" spans="1:17" s="85" customFormat="1" x14ac:dyDescent="0.25">
      <c r="A148" s="529" t="s">
        <v>368</v>
      </c>
      <c r="B148" s="530"/>
      <c r="C148" s="531"/>
      <c r="D148" s="259" t="s">
        <v>369</v>
      </c>
      <c r="E148" s="260"/>
      <c r="F148" s="259">
        <f>J148/H148</f>
        <v>1024.5901639344263</v>
      </c>
      <c r="G148" s="264"/>
      <c r="H148" s="417">
        <v>39.04</v>
      </c>
      <c r="I148" s="264"/>
      <c r="J148" s="338">
        <v>40000</v>
      </c>
      <c r="K148" s="338">
        <v>40000</v>
      </c>
      <c r="L148" s="338">
        <v>40000</v>
      </c>
      <c r="M148" s="232">
        <v>26300</v>
      </c>
      <c r="N148" s="232"/>
      <c r="O148" s="172"/>
      <c r="P148" s="172"/>
      <c r="Q148" s="172"/>
    </row>
    <row r="149" spans="1:17" s="85" customFormat="1" x14ac:dyDescent="0.25">
      <c r="A149" s="529" t="s">
        <v>370</v>
      </c>
      <c r="B149" s="530"/>
      <c r="C149" s="531"/>
      <c r="D149" s="259" t="s">
        <v>369</v>
      </c>
      <c r="E149" s="260"/>
      <c r="F149" s="415">
        <f t="shared" ref="F149:F160" si="5">J149/H149</f>
        <v>532.54437869822493</v>
      </c>
      <c r="G149" s="264"/>
      <c r="H149" s="417">
        <v>16.899999999999999</v>
      </c>
      <c r="I149" s="264"/>
      <c r="J149" s="338">
        <v>9000</v>
      </c>
      <c r="K149" s="338">
        <v>8000</v>
      </c>
      <c r="L149" s="338">
        <v>9000</v>
      </c>
      <c r="M149" s="232">
        <v>26300</v>
      </c>
      <c r="N149" s="232"/>
      <c r="O149" s="172"/>
      <c r="P149" s="172"/>
      <c r="Q149" s="172"/>
    </row>
    <row r="150" spans="1:17" s="85" customFormat="1" x14ac:dyDescent="0.25">
      <c r="A150" s="529" t="s">
        <v>408</v>
      </c>
      <c r="B150" s="530"/>
      <c r="C150" s="531"/>
      <c r="D150" s="259"/>
      <c r="E150" s="260"/>
      <c r="F150" s="415"/>
      <c r="G150" s="264"/>
      <c r="H150" s="417"/>
      <c r="I150" s="264"/>
      <c r="J150" s="261"/>
      <c r="K150" s="261"/>
      <c r="L150" s="261"/>
      <c r="M150" s="232"/>
      <c r="N150" s="232"/>
      <c r="O150" s="172"/>
      <c r="P150" s="172"/>
      <c r="Q150" s="172"/>
    </row>
    <row r="151" spans="1:17" s="85" customFormat="1" x14ac:dyDescent="0.25">
      <c r="A151" s="529" t="s">
        <v>371</v>
      </c>
      <c r="B151" s="530"/>
      <c r="C151" s="531"/>
      <c r="D151" s="259" t="s">
        <v>372</v>
      </c>
      <c r="E151" s="260"/>
      <c r="F151" s="415">
        <f t="shared" si="5"/>
        <v>1304.9485618088675</v>
      </c>
      <c r="G151" s="264"/>
      <c r="H151" s="417">
        <v>2203.81</v>
      </c>
      <c r="I151" s="264"/>
      <c r="J151" s="338">
        <f>2477000+398858.69</f>
        <v>2875858.69</v>
      </c>
      <c r="K151" s="338">
        <v>2554000</v>
      </c>
      <c r="L151" s="338">
        <v>2627000</v>
      </c>
      <c r="M151" s="232">
        <v>26300</v>
      </c>
      <c r="N151" s="232"/>
      <c r="O151" s="172"/>
      <c r="P151" s="172"/>
      <c r="Q151" s="172"/>
    </row>
    <row r="152" spans="1:17" s="85" customFormat="1" x14ac:dyDescent="0.25">
      <c r="A152" s="529" t="s">
        <v>373</v>
      </c>
      <c r="B152" s="530"/>
      <c r="C152" s="531"/>
      <c r="D152" s="259" t="s">
        <v>369</v>
      </c>
      <c r="E152" s="260"/>
      <c r="F152" s="415">
        <f t="shared" si="5"/>
        <v>647.88732394366195</v>
      </c>
      <c r="G152" s="264"/>
      <c r="H152" s="417">
        <v>35.5</v>
      </c>
      <c r="I152" s="264"/>
      <c r="J152" s="338">
        <v>23000</v>
      </c>
      <c r="K152" s="338">
        <v>23000</v>
      </c>
      <c r="L152" s="338">
        <v>23000</v>
      </c>
      <c r="M152" s="232">
        <v>26300</v>
      </c>
      <c r="N152" s="232"/>
      <c r="O152" s="172"/>
      <c r="P152" s="172"/>
      <c r="Q152" s="172"/>
    </row>
    <row r="153" spans="1:17" s="85" customFormat="1" x14ac:dyDescent="0.25">
      <c r="A153" s="529" t="s">
        <v>411</v>
      </c>
      <c r="B153" s="530"/>
      <c r="C153" s="531"/>
      <c r="D153" s="259" t="s">
        <v>369</v>
      </c>
      <c r="E153" s="260"/>
      <c r="F153" s="415"/>
      <c r="G153" s="264"/>
      <c r="H153" s="417"/>
      <c r="I153" s="264"/>
      <c r="J153" s="320"/>
      <c r="K153" s="320"/>
      <c r="L153" s="320"/>
      <c r="M153" s="232">
        <v>26300</v>
      </c>
      <c r="N153" s="232"/>
      <c r="O153" s="172"/>
      <c r="P153" s="172"/>
      <c r="Q153" s="172"/>
    </row>
    <row r="154" spans="1:17" s="85" customFormat="1" x14ac:dyDescent="0.25">
      <c r="A154" s="529" t="s">
        <v>409</v>
      </c>
      <c r="B154" s="530"/>
      <c r="C154" s="531"/>
      <c r="D154" s="259"/>
      <c r="E154" s="260"/>
      <c r="F154" s="415"/>
      <c r="G154" s="264"/>
      <c r="H154" s="417"/>
      <c r="I154" s="264"/>
      <c r="J154" s="261"/>
      <c r="K154" s="261"/>
      <c r="L154" s="261"/>
      <c r="M154" s="232"/>
      <c r="N154" s="232"/>
      <c r="O154" s="172"/>
      <c r="P154" s="172"/>
      <c r="Q154" s="172"/>
    </row>
    <row r="155" spans="1:17" s="85" customFormat="1" x14ac:dyDescent="0.25">
      <c r="A155" s="529" t="s">
        <v>481</v>
      </c>
      <c r="B155" s="530"/>
      <c r="C155" s="531"/>
      <c r="D155" s="259" t="s">
        <v>375</v>
      </c>
      <c r="E155" s="260"/>
      <c r="F155" s="415">
        <f t="shared" si="5"/>
        <v>72984.293193717269</v>
      </c>
      <c r="G155" s="264"/>
      <c r="H155" s="417">
        <v>9.5500000000000007</v>
      </c>
      <c r="I155" s="264"/>
      <c r="J155" s="338">
        <v>697000</v>
      </c>
      <c r="K155" s="338">
        <v>717000</v>
      </c>
      <c r="L155" s="338">
        <v>738000</v>
      </c>
      <c r="M155" s="232">
        <v>26300</v>
      </c>
      <c r="N155" s="232"/>
      <c r="O155" s="172"/>
      <c r="P155" s="172"/>
      <c r="Q155" s="172"/>
    </row>
    <row r="156" spans="1:17" s="85" customFormat="1" x14ac:dyDescent="0.25">
      <c r="A156" s="529" t="s">
        <v>410</v>
      </c>
      <c r="B156" s="530"/>
      <c r="C156" s="531"/>
      <c r="D156" s="259"/>
      <c r="E156" s="260"/>
      <c r="F156" s="415"/>
      <c r="G156" s="264"/>
      <c r="H156" s="417"/>
      <c r="I156" s="264"/>
      <c r="J156" s="261"/>
      <c r="K156" s="261"/>
      <c r="L156" s="261"/>
      <c r="M156" s="232"/>
      <c r="N156" s="232"/>
      <c r="O156" s="172"/>
      <c r="P156" s="172"/>
      <c r="Q156" s="172"/>
    </row>
    <row r="157" spans="1:17" s="85" customFormat="1" x14ac:dyDescent="0.25">
      <c r="A157" s="529" t="s">
        <v>376</v>
      </c>
      <c r="B157" s="530"/>
      <c r="C157" s="531"/>
      <c r="D157" s="259" t="s">
        <v>375</v>
      </c>
      <c r="E157" s="260"/>
      <c r="F157" s="415"/>
      <c r="G157" s="264"/>
      <c r="H157" s="417"/>
      <c r="I157" s="264"/>
      <c r="J157" s="261"/>
      <c r="K157" s="261"/>
      <c r="L157" s="261"/>
      <c r="M157" s="232">
        <v>26300</v>
      </c>
      <c r="N157" s="232"/>
      <c r="O157" s="172"/>
      <c r="P157" s="172"/>
      <c r="Q157" s="172"/>
    </row>
    <row r="158" spans="1:17" s="85" customFormat="1" x14ac:dyDescent="0.25">
      <c r="A158" s="529"/>
      <c r="B158" s="530"/>
      <c r="C158" s="531"/>
      <c r="D158" s="259"/>
      <c r="E158" s="260"/>
      <c r="F158" s="415"/>
      <c r="G158" s="264"/>
      <c r="H158" s="417"/>
      <c r="I158" s="264"/>
      <c r="J158" s="261"/>
      <c r="K158" s="261"/>
      <c r="L158" s="261"/>
      <c r="M158" s="232">
        <v>26300</v>
      </c>
      <c r="N158" s="232"/>
      <c r="O158" s="172"/>
      <c r="P158" s="172"/>
      <c r="Q158" s="172"/>
    </row>
    <row r="159" spans="1:17" s="85" customFormat="1" x14ac:dyDescent="0.25">
      <c r="A159" s="529" t="s">
        <v>374</v>
      </c>
      <c r="B159" s="530"/>
      <c r="C159" s="531"/>
      <c r="D159" s="259" t="s">
        <v>375</v>
      </c>
      <c r="E159" s="260"/>
      <c r="F159" s="415">
        <f t="shared" si="5"/>
        <v>4984.2931937172771</v>
      </c>
      <c r="G159" s="264"/>
      <c r="H159" s="417">
        <v>9.5500000000000007</v>
      </c>
      <c r="I159" s="264"/>
      <c r="J159" s="337">
        <v>47600</v>
      </c>
      <c r="K159" s="337">
        <v>47600</v>
      </c>
      <c r="L159" s="337">
        <v>47600</v>
      </c>
      <c r="M159" s="232">
        <v>26300</v>
      </c>
      <c r="N159" s="232"/>
      <c r="O159" s="172">
        <f>'Раздел 1'!F156+'Раздел 1'!F193</f>
        <v>3721858.69</v>
      </c>
      <c r="P159" s="172">
        <f>'Раздел 1'!G156+'Раздел 1'!G193</f>
        <v>3422000</v>
      </c>
      <c r="Q159" s="172">
        <f>'Раздел 1'!H156+'Раздел 1'!H193</f>
        <v>3520000</v>
      </c>
    </row>
    <row r="160" spans="1:17" s="85" customFormat="1" ht="13.8" thickBot="1" x14ac:dyDescent="0.3">
      <c r="A160" s="529" t="s">
        <v>386</v>
      </c>
      <c r="B160" s="530"/>
      <c r="C160" s="531"/>
      <c r="D160" s="259" t="s">
        <v>369</v>
      </c>
      <c r="E160" s="260"/>
      <c r="F160" s="415">
        <f t="shared" si="5"/>
        <v>137.285736190303</v>
      </c>
      <c r="G160" s="264"/>
      <c r="H160" s="418">
        <v>560.87400000000002</v>
      </c>
      <c r="I160" s="264"/>
      <c r="J160" s="338">
        <v>77000</v>
      </c>
      <c r="K160" s="338">
        <v>80000</v>
      </c>
      <c r="L160" s="338">
        <v>83000</v>
      </c>
      <c r="M160" s="232">
        <v>26300</v>
      </c>
      <c r="N160" s="232"/>
      <c r="O160" s="172">
        <f>'Раздел 1'!F194+'Раздел 1'!F158</f>
        <v>47600</v>
      </c>
      <c r="P160" s="172">
        <f>'Раздел 1'!G158+'Раздел 1'!G194</f>
        <v>47600</v>
      </c>
      <c r="Q160" s="172">
        <f>'Раздел 1'!H158+'Раздел 1'!H194</f>
        <v>47600</v>
      </c>
    </row>
    <row r="161" spans="1:17" s="104" customFormat="1" ht="25.2" customHeight="1" thickBot="1" x14ac:dyDescent="0.3">
      <c r="A161" s="556" t="s">
        <v>311</v>
      </c>
      <c r="B161" s="557"/>
      <c r="C161" s="557"/>
      <c r="D161" s="558" t="s">
        <v>35</v>
      </c>
      <c r="E161" s="558"/>
      <c r="F161" s="558" t="s">
        <v>35</v>
      </c>
      <c r="G161" s="558"/>
      <c r="H161" s="557"/>
      <c r="I161" s="569"/>
      <c r="J161" s="237">
        <f>SUM(J147:J160)</f>
        <v>3769458.69</v>
      </c>
      <c r="K161" s="237">
        <f>SUM(K147:K160)</f>
        <v>3469600</v>
      </c>
      <c r="L161" s="237">
        <f>SUM(L147:L160)</f>
        <v>3567600</v>
      </c>
      <c r="M161" s="233"/>
      <c r="N161" s="233"/>
      <c r="O161" s="383">
        <f>SUM(O159:O160)</f>
        <v>3769458.69</v>
      </c>
      <c r="P161" s="383">
        <f>SUM(P159:P160)</f>
        <v>3469600</v>
      </c>
      <c r="Q161" s="383">
        <f>SUM(Q159:Q160)</f>
        <v>3567600</v>
      </c>
    </row>
    <row r="162" spans="1:17" s="74" customFormat="1" ht="12" customHeight="1" x14ac:dyDescent="0.25">
      <c r="A162" s="71"/>
      <c r="B162" s="71"/>
      <c r="C162" s="71"/>
      <c r="D162" s="71"/>
      <c r="E162" s="71"/>
      <c r="F162" s="71"/>
      <c r="G162" s="71"/>
      <c r="H162" s="71"/>
      <c r="I162" s="71"/>
      <c r="J162" s="164">
        <f>J161-O161</f>
        <v>0</v>
      </c>
      <c r="K162" s="164">
        <f>K161-P161</f>
        <v>0</v>
      </c>
      <c r="L162" s="164">
        <f>L161-Q161</f>
        <v>0</v>
      </c>
      <c r="M162" s="231"/>
      <c r="N162" s="231"/>
      <c r="O162" s="171"/>
      <c r="P162" s="171"/>
      <c r="Q162" s="171"/>
    </row>
    <row r="163" spans="1:17" s="67" customFormat="1" ht="13.8" x14ac:dyDescent="0.25">
      <c r="A163" s="507" t="s">
        <v>404</v>
      </c>
      <c r="B163" s="508"/>
      <c r="C163" s="508"/>
      <c r="D163" s="508"/>
      <c r="E163" s="508"/>
      <c r="F163" s="508"/>
      <c r="G163" s="508"/>
      <c r="H163" s="508"/>
      <c r="I163" s="508"/>
      <c r="J163" s="508"/>
      <c r="K163" s="281"/>
      <c r="L163" s="281"/>
      <c r="M163" s="229"/>
      <c r="N163" s="229"/>
      <c r="O163" s="169"/>
      <c r="P163" s="169"/>
      <c r="Q163" s="169"/>
    </row>
    <row r="164" spans="1:17" s="74" customFormat="1" ht="2.25" customHeight="1" x14ac:dyDescent="0.25">
      <c r="A164" s="71"/>
      <c r="B164" s="71"/>
      <c r="C164" s="71"/>
      <c r="D164" s="71"/>
      <c r="E164" s="71"/>
      <c r="F164" s="71"/>
      <c r="G164" s="71"/>
      <c r="H164" s="71"/>
      <c r="I164" s="71"/>
      <c r="J164" s="71"/>
      <c r="K164" s="71"/>
      <c r="L164" s="71"/>
      <c r="M164" s="231"/>
      <c r="N164" s="231"/>
      <c r="O164" s="171"/>
      <c r="P164" s="171"/>
      <c r="Q164" s="171"/>
    </row>
    <row r="165" spans="1:17" s="67" customFormat="1" ht="27.75" customHeight="1" x14ac:dyDescent="0.25">
      <c r="A165" s="291" t="s">
        <v>170</v>
      </c>
      <c r="B165" s="570" t="s">
        <v>312</v>
      </c>
      <c r="C165" s="570"/>
      <c r="D165" s="570"/>
      <c r="E165" s="570"/>
      <c r="F165" s="571" t="s">
        <v>377</v>
      </c>
      <c r="G165" s="572"/>
      <c r="H165" s="572"/>
      <c r="I165" s="573"/>
      <c r="J165" s="571" t="s">
        <v>468</v>
      </c>
      <c r="K165" s="573"/>
      <c r="L165" s="282" t="s">
        <v>469</v>
      </c>
      <c r="M165" s="229"/>
      <c r="N165" s="229"/>
      <c r="O165" s="169"/>
      <c r="P165" s="169"/>
      <c r="Q165" s="169"/>
    </row>
    <row r="166" spans="1:17" s="85" customFormat="1" ht="12.75" customHeight="1" x14ac:dyDescent="0.25">
      <c r="A166" s="283">
        <v>1</v>
      </c>
      <c r="B166" s="561">
        <v>2</v>
      </c>
      <c r="C166" s="561"/>
      <c r="D166" s="561"/>
      <c r="E166" s="561"/>
      <c r="F166" s="518">
        <v>3</v>
      </c>
      <c r="G166" s="563"/>
      <c r="H166" s="563"/>
      <c r="I166" s="519"/>
      <c r="J166" s="518">
        <v>4</v>
      </c>
      <c r="K166" s="519"/>
      <c r="L166" s="290" t="s">
        <v>467</v>
      </c>
      <c r="M166" s="232"/>
      <c r="N166" s="232"/>
      <c r="O166" s="172"/>
      <c r="P166" s="172"/>
      <c r="Q166" s="172"/>
    </row>
    <row r="167" spans="1:17" s="104" customFormat="1" ht="12.75" customHeight="1" x14ac:dyDescent="0.25">
      <c r="A167" s="120"/>
      <c r="B167" s="562" t="s">
        <v>568</v>
      </c>
      <c r="C167" s="562"/>
      <c r="D167" s="562"/>
      <c r="E167" s="562"/>
      <c r="F167" s="518"/>
      <c r="G167" s="563"/>
      <c r="H167" s="563"/>
      <c r="I167" s="519"/>
      <c r="J167" s="518"/>
      <c r="K167" s="519"/>
      <c r="L167" s="115"/>
      <c r="M167" s="233"/>
      <c r="N167" s="233"/>
      <c r="O167" s="173"/>
      <c r="P167" s="173"/>
      <c r="Q167" s="173"/>
    </row>
    <row r="168" spans="1:17" s="104" customFormat="1" ht="12.75" customHeight="1" x14ac:dyDescent="0.25">
      <c r="A168" s="120"/>
      <c r="B168" s="562"/>
      <c r="C168" s="562"/>
      <c r="D168" s="562"/>
      <c r="E168" s="562"/>
      <c r="F168" s="518"/>
      <c r="G168" s="563"/>
      <c r="H168" s="563"/>
      <c r="I168" s="519"/>
      <c r="J168" s="518"/>
      <c r="K168" s="519"/>
      <c r="L168" s="115"/>
      <c r="M168" s="233"/>
      <c r="N168" s="233"/>
      <c r="O168" s="173"/>
      <c r="P168" s="173"/>
      <c r="Q168" s="173"/>
    </row>
    <row r="169" spans="1:17" s="104" customFormat="1" ht="12.75" customHeight="1" x14ac:dyDescent="0.25">
      <c r="A169" s="120"/>
      <c r="B169" s="562"/>
      <c r="C169" s="562"/>
      <c r="D169" s="562"/>
      <c r="E169" s="562"/>
      <c r="F169" s="518"/>
      <c r="G169" s="563"/>
      <c r="H169" s="563"/>
      <c r="I169" s="519"/>
      <c r="J169" s="338"/>
      <c r="K169" s="338"/>
      <c r="L169" s="338"/>
      <c r="M169" s="233"/>
      <c r="N169" s="233"/>
      <c r="O169" s="173">
        <f>'Раздел 1'!F159+'Раздел 1'!F170</f>
        <v>0</v>
      </c>
      <c r="P169" s="173">
        <f>'Раздел 1'!G159</f>
        <v>0</v>
      </c>
      <c r="Q169" s="173">
        <f>'Раздел 1'!H159</f>
        <v>0</v>
      </c>
    </row>
    <row r="170" spans="1:17" s="74" customFormat="1" ht="12" customHeight="1" x14ac:dyDescent="0.25">
      <c r="A170" s="71"/>
      <c r="B170" s="71"/>
      <c r="C170" s="71"/>
      <c r="D170" s="71"/>
      <c r="E170" s="71"/>
      <c r="F170" s="71"/>
      <c r="G170" s="71"/>
      <c r="H170" s="71"/>
      <c r="I170" s="71"/>
      <c r="J170" s="164">
        <f>J169-O169</f>
        <v>0</v>
      </c>
      <c r="K170" s="164">
        <f>K169-P169</f>
        <v>0</v>
      </c>
      <c r="L170" s="164">
        <f>L169-Q169</f>
        <v>0</v>
      </c>
      <c r="M170" s="231"/>
      <c r="N170" s="231"/>
      <c r="O170" s="171"/>
      <c r="P170" s="171"/>
      <c r="Q170" s="171"/>
    </row>
    <row r="171" spans="1:17" s="67" customFormat="1" ht="13.8" x14ac:dyDescent="0.25">
      <c r="A171" s="507" t="s">
        <v>378</v>
      </c>
      <c r="B171" s="508"/>
      <c r="C171" s="508"/>
      <c r="D171" s="508"/>
      <c r="E171" s="508"/>
      <c r="F171" s="508"/>
      <c r="G171" s="508"/>
      <c r="H171" s="508"/>
      <c r="I171" s="508"/>
      <c r="J171" s="508"/>
      <c r="K171" s="281"/>
      <c r="L171" s="281"/>
      <c r="M171" s="229"/>
      <c r="N171" s="229"/>
      <c r="O171" s="169"/>
      <c r="P171" s="169"/>
      <c r="Q171" s="169"/>
    </row>
    <row r="172" spans="1:17" s="74" customFormat="1" ht="4.5" customHeight="1" thickBot="1" x14ac:dyDescent="0.3">
      <c r="A172" s="71"/>
      <c r="B172" s="71"/>
      <c r="C172" s="71"/>
      <c r="D172" s="71"/>
      <c r="E172" s="71"/>
      <c r="F172" s="71"/>
      <c r="G172" s="71"/>
      <c r="H172" s="71"/>
      <c r="I172" s="71"/>
      <c r="J172" s="71"/>
      <c r="K172" s="71"/>
      <c r="L172" s="71"/>
      <c r="M172" s="231"/>
      <c r="N172" s="231"/>
      <c r="O172" s="171"/>
      <c r="P172" s="171"/>
      <c r="Q172" s="171"/>
    </row>
    <row r="173" spans="1:17" s="67" customFormat="1" ht="42" customHeight="1" thickBot="1" x14ac:dyDescent="0.3">
      <c r="A173" s="121" t="s">
        <v>312</v>
      </c>
      <c r="B173" s="122"/>
      <c r="C173" s="122"/>
      <c r="D173" s="122"/>
      <c r="E173" s="123" t="s">
        <v>379</v>
      </c>
      <c r="F173" s="123" t="s">
        <v>380</v>
      </c>
      <c r="G173" s="123" t="s">
        <v>381</v>
      </c>
      <c r="H173" s="554" t="s">
        <v>382</v>
      </c>
      <c r="I173" s="554"/>
      <c r="J173" s="105" t="s">
        <v>383</v>
      </c>
      <c r="K173" s="292" t="s">
        <v>383</v>
      </c>
      <c r="L173" s="292" t="s">
        <v>383</v>
      </c>
      <c r="M173" s="229"/>
      <c r="N173" s="229"/>
      <c r="O173" s="169"/>
      <c r="P173" s="169"/>
      <c r="Q173" s="169"/>
    </row>
    <row r="174" spans="1:17" s="85" customFormat="1" x14ac:dyDescent="0.25">
      <c r="A174" s="124">
        <v>1</v>
      </c>
      <c r="B174" s="125"/>
      <c r="C174" s="125"/>
      <c r="D174" s="125"/>
      <c r="E174" s="126">
        <v>2</v>
      </c>
      <c r="F174" s="126">
        <v>2</v>
      </c>
      <c r="G174" s="127">
        <v>3</v>
      </c>
      <c r="H174" s="513">
        <v>4</v>
      </c>
      <c r="I174" s="513"/>
      <c r="J174" s="84" t="s">
        <v>384</v>
      </c>
      <c r="K174" s="279" t="s">
        <v>384</v>
      </c>
      <c r="L174" s="279" t="s">
        <v>384</v>
      </c>
      <c r="M174" s="232"/>
      <c r="N174" s="232"/>
      <c r="O174" s="172"/>
      <c r="P174" s="172"/>
      <c r="Q174" s="172"/>
    </row>
    <row r="175" spans="1:17" s="104" customFormat="1" ht="13.5" customHeight="1" x14ac:dyDescent="0.25">
      <c r="A175" s="501" t="s">
        <v>385</v>
      </c>
      <c r="B175" s="502"/>
      <c r="C175" s="502"/>
      <c r="D175" s="502"/>
      <c r="E175" s="341" t="s">
        <v>267</v>
      </c>
      <c r="F175" s="341">
        <v>1</v>
      </c>
      <c r="G175" s="342">
        <v>22000</v>
      </c>
      <c r="H175" s="504">
        <v>4</v>
      </c>
      <c r="I175" s="504"/>
      <c r="J175" s="343">
        <v>88000</v>
      </c>
      <c r="K175" s="390">
        <v>88000</v>
      </c>
      <c r="L175" s="390">
        <v>88000</v>
      </c>
      <c r="M175" s="241">
        <v>26300</v>
      </c>
      <c r="N175" s="233"/>
      <c r="O175" s="173"/>
      <c r="P175" s="173"/>
      <c r="Q175" s="173"/>
    </row>
    <row r="176" spans="1:17" s="104" customFormat="1" ht="13.5" customHeight="1" x14ac:dyDescent="0.25">
      <c r="A176" s="131" t="s">
        <v>483</v>
      </c>
      <c r="B176" s="132"/>
      <c r="C176" s="132"/>
      <c r="D176" s="132"/>
      <c r="E176" s="341" t="s">
        <v>267</v>
      </c>
      <c r="F176" s="341">
        <v>1</v>
      </c>
      <c r="G176" s="342">
        <v>30000</v>
      </c>
      <c r="H176" s="504">
        <v>4</v>
      </c>
      <c r="I176" s="504"/>
      <c r="J176" s="343">
        <v>120000</v>
      </c>
      <c r="K176" s="390">
        <v>120000</v>
      </c>
      <c r="L176" s="390">
        <v>120000</v>
      </c>
      <c r="M176" s="241">
        <v>26300</v>
      </c>
      <c r="N176" s="233"/>
      <c r="O176" s="173"/>
      <c r="P176" s="173"/>
      <c r="Q176" s="173"/>
    </row>
    <row r="177" spans="1:17" s="104" customFormat="1" ht="13.5" customHeight="1" x14ac:dyDescent="0.25">
      <c r="A177" s="566" t="s">
        <v>596</v>
      </c>
      <c r="B177" s="567"/>
      <c r="C177" s="567"/>
      <c r="D177" s="567"/>
      <c r="E177" s="341" t="s">
        <v>267</v>
      </c>
      <c r="F177" s="341">
        <v>1</v>
      </c>
      <c r="G177" s="342">
        <v>50000</v>
      </c>
      <c r="H177" s="504">
        <v>1</v>
      </c>
      <c r="I177" s="504"/>
      <c r="J177" s="343">
        <v>50000</v>
      </c>
      <c r="K177" s="382">
        <v>50000</v>
      </c>
      <c r="L177" s="382">
        <v>50000</v>
      </c>
      <c r="M177" s="241">
        <v>26300</v>
      </c>
      <c r="N177" s="233"/>
      <c r="O177" s="173"/>
      <c r="P177" s="173"/>
      <c r="Q177" s="173"/>
    </row>
    <row r="178" spans="1:17" s="104" customFormat="1" ht="13.5" customHeight="1" x14ac:dyDescent="0.25">
      <c r="A178" s="566" t="s">
        <v>412</v>
      </c>
      <c r="B178" s="567"/>
      <c r="C178" s="567"/>
      <c r="D178" s="567"/>
      <c r="E178" s="341" t="s">
        <v>267</v>
      </c>
      <c r="F178" s="341">
        <v>1</v>
      </c>
      <c r="G178" s="342">
        <v>15000</v>
      </c>
      <c r="H178" s="504">
        <v>12</v>
      </c>
      <c r="I178" s="504"/>
      <c r="J178" s="343">
        <v>180000</v>
      </c>
      <c r="K178" s="390">
        <v>180000</v>
      </c>
      <c r="L178" s="390">
        <v>180000</v>
      </c>
      <c r="M178" s="241">
        <v>26300</v>
      </c>
      <c r="N178" s="233"/>
      <c r="O178" s="173"/>
      <c r="P178" s="173"/>
      <c r="Q178" s="173"/>
    </row>
    <row r="179" spans="1:17" s="104" customFormat="1" ht="13.5" customHeight="1" x14ac:dyDescent="0.25">
      <c r="A179" s="566" t="s">
        <v>484</v>
      </c>
      <c r="B179" s="567"/>
      <c r="C179" s="567"/>
      <c r="D179" s="567"/>
      <c r="E179" s="341" t="s">
        <v>267</v>
      </c>
      <c r="F179" s="341">
        <v>1</v>
      </c>
      <c r="G179" s="342">
        <v>0</v>
      </c>
      <c r="H179" s="504">
        <v>12</v>
      </c>
      <c r="I179" s="504"/>
      <c r="J179" s="343"/>
      <c r="K179" s="382"/>
      <c r="L179" s="382"/>
      <c r="M179" s="241">
        <v>26300</v>
      </c>
      <c r="N179" s="233"/>
      <c r="O179" s="173"/>
      <c r="P179" s="173"/>
      <c r="Q179" s="173"/>
    </row>
    <row r="180" spans="1:17" s="104" customFormat="1" ht="13.5" customHeight="1" x14ac:dyDescent="0.25">
      <c r="A180" s="501" t="s">
        <v>546</v>
      </c>
      <c r="B180" s="502"/>
      <c r="C180" s="502"/>
      <c r="D180" s="502"/>
      <c r="E180" s="381" t="s">
        <v>267</v>
      </c>
      <c r="F180" s="381">
        <v>1</v>
      </c>
      <c r="G180" s="342">
        <v>0</v>
      </c>
      <c r="H180" s="504">
        <v>1</v>
      </c>
      <c r="I180" s="504"/>
      <c r="J180" s="382">
        <v>30000</v>
      </c>
      <c r="K180" s="382">
        <v>30000</v>
      </c>
      <c r="L180" s="382">
        <v>30000</v>
      </c>
      <c r="M180" s="241">
        <v>26300</v>
      </c>
      <c r="N180" s="233"/>
      <c r="O180" s="173"/>
      <c r="P180" s="173"/>
      <c r="Q180" s="173"/>
    </row>
    <row r="181" spans="1:17" s="104" customFormat="1" ht="13.5" customHeight="1" x14ac:dyDescent="0.25">
      <c r="A181" s="501" t="s">
        <v>387</v>
      </c>
      <c r="B181" s="502"/>
      <c r="C181" s="502"/>
      <c r="D181" s="502"/>
      <c r="E181" s="341" t="s">
        <v>267</v>
      </c>
      <c r="F181" s="341">
        <v>1</v>
      </c>
      <c r="G181" s="342">
        <v>20000</v>
      </c>
      <c r="H181" s="504">
        <v>10</v>
      </c>
      <c r="I181" s="504"/>
      <c r="J181" s="343">
        <v>200000</v>
      </c>
      <c r="K181" s="382">
        <v>200000</v>
      </c>
      <c r="L181" s="382">
        <v>200000</v>
      </c>
      <c r="M181" s="241">
        <v>26300</v>
      </c>
      <c r="N181" s="233"/>
      <c r="O181" s="173"/>
      <c r="P181" s="173"/>
      <c r="Q181" s="173"/>
    </row>
    <row r="182" spans="1:17" s="104" customFormat="1" ht="13.5" customHeight="1" x14ac:dyDescent="0.25">
      <c r="A182" s="501" t="s">
        <v>388</v>
      </c>
      <c r="B182" s="502"/>
      <c r="C182" s="502"/>
      <c r="D182" s="502"/>
      <c r="E182" s="341" t="s">
        <v>267</v>
      </c>
      <c r="F182" s="341">
        <v>1</v>
      </c>
      <c r="G182" s="342">
        <v>10000</v>
      </c>
      <c r="H182" s="504">
        <v>4</v>
      </c>
      <c r="I182" s="504"/>
      <c r="J182" s="343">
        <v>40000</v>
      </c>
      <c r="K182" s="390">
        <v>40000</v>
      </c>
      <c r="L182" s="390">
        <v>40000</v>
      </c>
      <c r="M182" s="241">
        <v>26300</v>
      </c>
      <c r="N182" s="233"/>
      <c r="O182" s="173"/>
      <c r="P182" s="173"/>
      <c r="Q182" s="173"/>
    </row>
    <row r="183" spans="1:17" s="104" customFormat="1" ht="13.2" customHeight="1" x14ac:dyDescent="0.25">
      <c r="A183" s="209" t="s">
        <v>482</v>
      </c>
      <c r="B183" s="568"/>
      <c r="C183" s="568"/>
      <c r="D183" s="132"/>
      <c r="E183" s="341" t="s">
        <v>267</v>
      </c>
      <c r="F183" s="341">
        <v>1</v>
      </c>
      <c r="G183" s="342"/>
      <c r="H183" s="504">
        <v>1</v>
      </c>
      <c r="I183" s="504"/>
      <c r="J183" s="343">
        <v>98700</v>
      </c>
      <c r="K183" s="382">
        <v>98700</v>
      </c>
      <c r="L183" s="382">
        <v>98700</v>
      </c>
      <c r="M183" s="240">
        <v>26411</v>
      </c>
      <c r="N183" s="233"/>
      <c r="O183" s="173"/>
      <c r="P183" s="173"/>
      <c r="Q183" s="173"/>
    </row>
    <row r="184" spans="1:17" s="104" customFormat="1" ht="13.5" customHeight="1" x14ac:dyDescent="0.25">
      <c r="A184" s="501" t="s">
        <v>504</v>
      </c>
      <c r="B184" s="502"/>
      <c r="C184" s="502"/>
      <c r="D184" s="502"/>
      <c r="E184" s="348" t="s">
        <v>268</v>
      </c>
      <c r="F184" s="348">
        <v>1</v>
      </c>
      <c r="G184" s="349">
        <v>0</v>
      </c>
      <c r="H184" s="564">
        <v>1</v>
      </c>
      <c r="I184" s="564"/>
      <c r="J184" s="350">
        <v>1115789.47</v>
      </c>
      <c r="K184" s="350"/>
      <c r="L184" s="350"/>
      <c r="M184" s="243">
        <v>26421</v>
      </c>
      <c r="N184" s="233"/>
      <c r="O184" s="173"/>
      <c r="P184" s="173"/>
      <c r="Q184" s="173"/>
    </row>
    <row r="185" spans="1:17" s="104" customFormat="1" ht="13.5" customHeight="1" x14ac:dyDescent="0.25">
      <c r="A185" s="501" t="s">
        <v>485</v>
      </c>
      <c r="B185" s="502"/>
      <c r="C185" s="502"/>
      <c r="D185" s="502"/>
      <c r="E185" s="348" t="s">
        <v>268</v>
      </c>
      <c r="F185" s="348">
        <v>1</v>
      </c>
      <c r="G185" s="349">
        <v>0</v>
      </c>
      <c r="H185" s="564">
        <v>1</v>
      </c>
      <c r="I185" s="564"/>
      <c r="J185" s="350">
        <f>600000-600000</f>
        <v>0</v>
      </c>
      <c r="K185" s="350"/>
      <c r="L185" s="350"/>
      <c r="M185" s="243">
        <v>26421</v>
      </c>
      <c r="N185" s="233"/>
      <c r="O185" s="173"/>
      <c r="P185" s="173"/>
      <c r="Q185" s="173"/>
    </row>
    <row r="186" spans="1:17" s="104" customFormat="1" ht="13.5" customHeight="1" x14ac:dyDescent="0.25">
      <c r="A186" s="501" t="s">
        <v>486</v>
      </c>
      <c r="B186" s="502"/>
      <c r="C186" s="502"/>
      <c r="D186" s="502"/>
      <c r="E186" s="348" t="s">
        <v>268</v>
      </c>
      <c r="F186" s="348">
        <v>1</v>
      </c>
      <c r="G186" s="349">
        <v>0</v>
      </c>
      <c r="H186" s="564">
        <v>1</v>
      </c>
      <c r="I186" s="564"/>
      <c r="J186" s="350">
        <f>31578.95-31578.95</f>
        <v>0</v>
      </c>
      <c r="K186" s="350"/>
      <c r="L186" s="350"/>
      <c r="M186" s="247">
        <v>26451</v>
      </c>
      <c r="N186" s="233"/>
      <c r="O186" s="173"/>
      <c r="P186" s="173"/>
      <c r="Q186" s="173"/>
    </row>
    <row r="187" spans="1:17" s="104" customFormat="1" ht="13.5" customHeight="1" x14ac:dyDescent="0.25">
      <c r="A187" s="501" t="s">
        <v>487</v>
      </c>
      <c r="B187" s="502"/>
      <c r="C187" s="502"/>
      <c r="D187" s="502"/>
      <c r="E187" s="348" t="s">
        <v>268</v>
      </c>
      <c r="F187" s="348">
        <v>1</v>
      </c>
      <c r="G187" s="349">
        <v>0</v>
      </c>
      <c r="H187" s="564">
        <v>1</v>
      </c>
      <c r="I187" s="564"/>
      <c r="J187" s="350"/>
      <c r="K187" s="350"/>
      <c r="L187" s="350"/>
      <c r="M187" s="247">
        <v>26451</v>
      </c>
      <c r="N187" s="233"/>
      <c r="O187" s="173"/>
      <c r="P187" s="173"/>
      <c r="Q187" s="173"/>
    </row>
    <row r="188" spans="1:17" s="104" customFormat="1" ht="13.5" customHeight="1" x14ac:dyDescent="0.25">
      <c r="A188" s="131" t="s">
        <v>389</v>
      </c>
      <c r="B188" s="132"/>
      <c r="C188" s="132"/>
      <c r="D188" s="132"/>
      <c r="E188" s="331" t="s">
        <v>269</v>
      </c>
      <c r="F188" s="331">
        <v>1</v>
      </c>
      <c r="G188" s="332">
        <v>0</v>
      </c>
      <c r="H188" s="524">
        <v>1</v>
      </c>
      <c r="I188" s="524"/>
      <c r="J188" s="333">
        <f>40000+100000</f>
        <v>140000</v>
      </c>
      <c r="K188" s="416">
        <v>40000</v>
      </c>
      <c r="L188" s="416">
        <v>40000</v>
      </c>
      <c r="M188" s="247">
        <v>26451</v>
      </c>
      <c r="N188" s="233"/>
      <c r="O188" s="173"/>
      <c r="P188" s="173"/>
      <c r="Q188" s="173"/>
    </row>
    <row r="189" spans="1:17" s="104" customFormat="1" ht="13.5" customHeight="1" x14ac:dyDescent="0.25">
      <c r="A189" s="501" t="s">
        <v>490</v>
      </c>
      <c r="B189" s="502"/>
      <c r="C189" s="502"/>
      <c r="D189" s="502"/>
      <c r="E189" s="331" t="s">
        <v>269</v>
      </c>
      <c r="F189" s="331">
        <v>1</v>
      </c>
      <c r="G189" s="332">
        <v>0</v>
      </c>
      <c r="H189" s="524">
        <v>1</v>
      </c>
      <c r="I189" s="524"/>
      <c r="J189" s="333"/>
      <c r="K189" s="333"/>
      <c r="L189" s="333"/>
      <c r="M189" s="247">
        <v>26451</v>
      </c>
      <c r="N189" s="233"/>
      <c r="O189" s="173">
        <f>'Раздел 1'!F147</f>
        <v>0</v>
      </c>
      <c r="P189" s="173"/>
      <c r="Q189" s="173"/>
    </row>
    <row r="190" spans="1:17" s="104" customFormat="1" ht="13.5" customHeight="1" x14ac:dyDescent="0.25">
      <c r="A190" s="501"/>
      <c r="B190" s="502"/>
      <c r="C190" s="502"/>
      <c r="D190" s="502"/>
      <c r="E190" s="128"/>
      <c r="F190" s="128"/>
      <c r="G190" s="129"/>
      <c r="H190" s="555"/>
      <c r="I190" s="555"/>
      <c r="J190" s="130"/>
      <c r="K190" s="294"/>
      <c r="L190" s="294"/>
      <c r="M190" s="247">
        <v>26451</v>
      </c>
      <c r="N190" s="233"/>
      <c r="O190" s="173">
        <f>'Раздел 1'!F163</f>
        <v>0</v>
      </c>
      <c r="P190" s="173"/>
      <c r="Q190" s="173"/>
    </row>
    <row r="191" spans="1:17" s="104" customFormat="1" ht="23.25" customHeight="1" x14ac:dyDescent="0.25">
      <c r="A191" s="131"/>
      <c r="B191" s="132"/>
      <c r="C191" s="132"/>
      <c r="D191" s="132"/>
      <c r="E191" s="128"/>
      <c r="F191" s="128"/>
      <c r="G191" s="129"/>
      <c r="H191" s="555"/>
      <c r="I191" s="555"/>
      <c r="J191" s="130"/>
      <c r="K191" s="294"/>
      <c r="L191" s="294"/>
      <c r="M191" s="247">
        <v>26451</v>
      </c>
      <c r="N191" s="233"/>
      <c r="O191" s="173">
        <f>'Раздел 1'!F161</f>
        <v>806700</v>
      </c>
      <c r="P191" s="173">
        <f>'Раздел 1'!G161</f>
        <v>806700</v>
      </c>
      <c r="Q191" s="173">
        <f>'Раздел 1'!H161</f>
        <v>806700</v>
      </c>
    </row>
    <row r="192" spans="1:17" s="104" customFormat="1" ht="13.5" customHeight="1" x14ac:dyDescent="0.25">
      <c r="A192" s="131"/>
      <c r="B192" s="132"/>
      <c r="C192" s="132"/>
      <c r="D192" s="132"/>
      <c r="E192" s="128"/>
      <c r="F192" s="128"/>
      <c r="G192" s="129"/>
      <c r="H192" s="555"/>
      <c r="I192" s="555"/>
      <c r="J192" s="130"/>
      <c r="K192" s="294"/>
      <c r="L192" s="294"/>
      <c r="M192" s="247">
        <v>26451</v>
      </c>
      <c r="N192" s="233"/>
      <c r="O192" s="173">
        <f>'Раздел 1'!F162</f>
        <v>1115789.47</v>
      </c>
      <c r="P192" s="173">
        <f>'Раздел 1'!G162</f>
        <v>0</v>
      </c>
      <c r="Q192" s="173">
        <f>'Раздел 1'!H162</f>
        <v>0</v>
      </c>
    </row>
    <row r="193" spans="1:26" s="104" customFormat="1" ht="13.5" customHeight="1" thickBot="1" x14ac:dyDescent="0.3">
      <c r="A193" s="131"/>
      <c r="B193" s="132"/>
      <c r="C193" s="132"/>
      <c r="D193" s="132"/>
      <c r="E193" s="128"/>
      <c r="F193" s="128"/>
      <c r="G193" s="129"/>
      <c r="H193" s="555"/>
      <c r="I193" s="555"/>
      <c r="J193" s="130"/>
      <c r="K193" s="294"/>
      <c r="L193" s="294"/>
      <c r="M193" s="247">
        <v>26451</v>
      </c>
      <c r="N193" s="233"/>
      <c r="O193" s="173">
        <f>'Раздел 1'!F164</f>
        <v>140000</v>
      </c>
      <c r="P193" s="173">
        <f>'Раздел 1'!G164</f>
        <v>40000</v>
      </c>
      <c r="Q193" s="173">
        <f>'Раздел 1'!H164</f>
        <v>40000</v>
      </c>
    </row>
    <row r="194" spans="1:26" s="104" customFormat="1" ht="23.4" customHeight="1" thickBot="1" x14ac:dyDescent="0.3">
      <c r="A194" s="556" t="s">
        <v>311</v>
      </c>
      <c r="B194" s="557"/>
      <c r="C194" s="557"/>
      <c r="D194" s="557"/>
      <c r="E194" s="557"/>
      <c r="F194" s="557"/>
      <c r="G194" s="557"/>
      <c r="H194" s="558"/>
      <c r="I194" s="558"/>
      <c r="J194" s="106">
        <f>SUM(J175:J193)</f>
        <v>2062489.47</v>
      </c>
      <c r="K194" s="106">
        <f>SUM(K175:K193)</f>
        <v>846700</v>
      </c>
      <c r="L194" s="106">
        <f>SUM(L175:L193)</f>
        <v>846700</v>
      </c>
      <c r="M194" s="233"/>
      <c r="N194" s="234"/>
      <c r="O194" s="321">
        <f>SUM(O189:O193)</f>
        <v>2062489.47</v>
      </c>
      <c r="P194" s="322">
        <f>SUM(P191:P193)</f>
        <v>846700</v>
      </c>
      <c r="Q194" s="322">
        <f>SUM(Q191:Q193)</f>
        <v>846700</v>
      </c>
      <c r="R194" s="165"/>
      <c r="S194" s="165"/>
      <c r="T194" s="165"/>
      <c r="U194" s="165"/>
      <c r="V194" s="165"/>
      <c r="W194" s="165"/>
      <c r="X194" s="165"/>
      <c r="Y194" s="165"/>
      <c r="Z194" s="165"/>
    </row>
    <row r="195" spans="1:26" s="73" customFormat="1" ht="12" customHeight="1" x14ac:dyDescent="0.25">
      <c r="A195" s="69"/>
      <c r="B195" s="69"/>
      <c r="C195" s="69"/>
      <c r="D195" s="69"/>
      <c r="E195" s="69"/>
      <c r="F195" s="69"/>
      <c r="G195" s="69"/>
      <c r="H195" s="69"/>
      <c r="I195" s="69"/>
      <c r="J195" s="164">
        <f>J194-O194</f>
        <v>0</v>
      </c>
      <c r="K195" s="164">
        <f>K194-P194</f>
        <v>0</v>
      </c>
      <c r="L195" s="164">
        <f>L194-Q194</f>
        <v>0</v>
      </c>
      <c r="M195" s="230"/>
      <c r="N195" s="230"/>
      <c r="O195" s="170"/>
      <c r="P195" s="170"/>
      <c r="Q195" s="170"/>
    </row>
    <row r="196" spans="1:26" s="67" customFormat="1" ht="13.8" x14ac:dyDescent="0.25">
      <c r="A196" s="507" t="s">
        <v>390</v>
      </c>
      <c r="B196" s="508"/>
      <c r="C196" s="508"/>
      <c r="D196" s="508"/>
      <c r="E196" s="508"/>
      <c r="F196" s="508"/>
      <c r="G196" s="508"/>
      <c r="H196" s="508"/>
      <c r="I196" s="508"/>
      <c r="J196" s="508"/>
      <c r="K196" s="281"/>
      <c r="L196" s="281"/>
      <c r="M196" s="229"/>
      <c r="N196" s="229"/>
      <c r="O196" s="169"/>
      <c r="P196" s="169"/>
      <c r="Q196" s="169"/>
    </row>
    <row r="197" spans="1:26" s="74" customFormat="1" ht="12" customHeight="1" thickBot="1" x14ac:dyDescent="0.3">
      <c r="A197" s="71"/>
      <c r="B197" s="71"/>
      <c r="C197" s="71"/>
      <c r="D197" s="71"/>
      <c r="E197" s="71"/>
      <c r="F197" s="71"/>
      <c r="G197" s="71"/>
      <c r="H197" s="71"/>
      <c r="I197" s="71"/>
      <c r="J197" s="71"/>
      <c r="K197" s="71"/>
      <c r="L197" s="71"/>
      <c r="M197" s="231"/>
      <c r="N197" s="231"/>
      <c r="O197" s="171"/>
      <c r="P197" s="171"/>
      <c r="Q197" s="171"/>
    </row>
    <row r="198" spans="1:26" s="67" customFormat="1" ht="55.5" customHeight="1" thickBot="1" x14ac:dyDescent="0.3">
      <c r="A198" s="121" t="s">
        <v>312</v>
      </c>
      <c r="B198" s="122"/>
      <c r="C198" s="122"/>
      <c r="D198" s="122"/>
      <c r="E198" s="123" t="s">
        <v>379</v>
      </c>
      <c r="F198" s="123" t="s">
        <v>380</v>
      </c>
      <c r="G198" s="123" t="s">
        <v>381</v>
      </c>
      <c r="H198" s="554" t="s">
        <v>382</v>
      </c>
      <c r="I198" s="554"/>
      <c r="J198" s="105" t="s">
        <v>383</v>
      </c>
      <c r="K198" s="292" t="s">
        <v>383</v>
      </c>
      <c r="L198" s="292" t="s">
        <v>383</v>
      </c>
      <c r="M198" s="231"/>
      <c r="N198" s="229"/>
      <c r="O198" s="169"/>
      <c r="P198" s="169"/>
      <c r="Q198" s="169"/>
    </row>
    <row r="199" spans="1:26" s="85" customFormat="1" ht="13.8" x14ac:dyDescent="0.25">
      <c r="A199" s="124">
        <v>1</v>
      </c>
      <c r="B199" s="125"/>
      <c r="C199" s="125"/>
      <c r="D199" s="125"/>
      <c r="E199" s="126">
        <v>2</v>
      </c>
      <c r="F199" s="126">
        <v>3</v>
      </c>
      <c r="G199" s="127">
        <v>4</v>
      </c>
      <c r="H199" s="513">
        <v>5</v>
      </c>
      <c r="I199" s="513"/>
      <c r="J199" s="84" t="s">
        <v>384</v>
      </c>
      <c r="K199" s="279" t="s">
        <v>384</v>
      </c>
      <c r="L199" s="279" t="s">
        <v>384</v>
      </c>
      <c r="M199" s="231"/>
      <c r="N199" s="232"/>
      <c r="O199" s="172"/>
      <c r="P199" s="172"/>
      <c r="Q199" s="172"/>
    </row>
    <row r="200" spans="1:26" s="104" customFormat="1" ht="12.75" customHeight="1" x14ac:dyDescent="0.25">
      <c r="A200" s="501" t="s">
        <v>391</v>
      </c>
      <c r="B200" s="502"/>
      <c r="C200" s="502"/>
      <c r="D200" s="503"/>
      <c r="E200" s="341" t="s">
        <v>267</v>
      </c>
      <c r="F200" s="341">
        <v>1</v>
      </c>
      <c r="G200" s="342">
        <f>J200/H200</f>
        <v>106000</v>
      </c>
      <c r="H200" s="504">
        <v>12</v>
      </c>
      <c r="I200" s="504"/>
      <c r="J200" s="343">
        <v>1272000</v>
      </c>
      <c r="K200" s="390">
        <v>1272000</v>
      </c>
      <c r="L200" s="390">
        <v>1272000</v>
      </c>
      <c r="M200" s="242">
        <v>26300</v>
      </c>
      <c r="N200" s="233"/>
      <c r="O200" s="173"/>
      <c r="P200" s="173"/>
      <c r="Q200" s="173"/>
    </row>
    <row r="201" spans="1:26" s="104" customFormat="1" ht="12.75" customHeight="1" x14ac:dyDescent="0.25">
      <c r="A201" s="501" t="s">
        <v>547</v>
      </c>
      <c r="B201" s="502"/>
      <c r="C201" s="502"/>
      <c r="D201" s="503"/>
      <c r="E201" s="341" t="s">
        <v>267</v>
      </c>
      <c r="F201" s="341">
        <v>1</v>
      </c>
      <c r="G201" s="342">
        <f>J201/H201</f>
        <v>2500</v>
      </c>
      <c r="H201" s="525">
        <v>12</v>
      </c>
      <c r="I201" s="526"/>
      <c r="J201" s="343">
        <v>30000</v>
      </c>
      <c r="K201" s="390">
        <v>30000</v>
      </c>
      <c r="L201" s="390">
        <v>30000</v>
      </c>
      <c r="M201" s="242"/>
      <c r="N201" s="233"/>
      <c r="O201" s="173"/>
      <c r="P201" s="173"/>
      <c r="Q201" s="173"/>
    </row>
    <row r="202" spans="1:26" s="104" customFormat="1" ht="15" customHeight="1" x14ac:dyDescent="0.25">
      <c r="A202" s="501" t="s">
        <v>492</v>
      </c>
      <c r="B202" s="502"/>
      <c r="C202" s="502"/>
      <c r="D202" s="503"/>
      <c r="E202" s="341" t="s">
        <v>267</v>
      </c>
      <c r="F202" s="341">
        <v>1</v>
      </c>
      <c r="G202" s="342"/>
      <c r="H202" s="504">
        <v>12</v>
      </c>
      <c r="I202" s="504"/>
      <c r="J202" s="343"/>
      <c r="K202" s="343"/>
      <c r="L202" s="382"/>
      <c r="M202" s="242">
        <v>26300</v>
      </c>
      <c r="N202" s="233"/>
      <c r="O202" s="173"/>
      <c r="P202" s="173"/>
      <c r="Q202" s="173"/>
    </row>
    <row r="203" spans="1:26" s="104" customFormat="1" ht="12.75" customHeight="1" x14ac:dyDescent="0.25">
      <c r="A203" s="501" t="s">
        <v>392</v>
      </c>
      <c r="B203" s="502"/>
      <c r="C203" s="502"/>
      <c r="D203" s="503"/>
      <c r="E203" s="341" t="s">
        <v>267</v>
      </c>
      <c r="F203" s="341">
        <v>1</v>
      </c>
      <c r="G203" s="342">
        <v>194500</v>
      </c>
      <c r="H203" s="504">
        <v>1</v>
      </c>
      <c r="I203" s="504"/>
      <c r="J203" s="343">
        <v>212000</v>
      </c>
      <c r="K203" s="390">
        <v>212000</v>
      </c>
      <c r="L203" s="390">
        <v>212000</v>
      </c>
      <c r="M203" s="244">
        <v>26411</v>
      </c>
      <c r="N203" s="233"/>
      <c r="O203" s="173"/>
      <c r="P203" s="173"/>
      <c r="Q203" s="173"/>
    </row>
    <row r="204" spans="1:26" s="104" customFormat="1" ht="12.75" customHeight="1" x14ac:dyDescent="0.25">
      <c r="A204" s="501" t="s">
        <v>491</v>
      </c>
      <c r="B204" s="502"/>
      <c r="C204" s="502"/>
      <c r="D204" s="503"/>
      <c r="E204" s="341" t="s">
        <v>267</v>
      </c>
      <c r="F204" s="341">
        <v>1</v>
      </c>
      <c r="G204" s="342">
        <v>78400</v>
      </c>
      <c r="H204" s="504">
        <v>1</v>
      </c>
      <c r="I204" s="504"/>
      <c r="J204" s="343">
        <v>117600</v>
      </c>
      <c r="K204" s="343">
        <v>212800</v>
      </c>
      <c r="L204" s="343">
        <v>56000</v>
      </c>
      <c r="M204" s="242">
        <v>26300</v>
      </c>
      <c r="N204" s="233"/>
      <c r="O204" s="173"/>
      <c r="P204" s="173"/>
      <c r="Q204" s="173"/>
    </row>
    <row r="205" spans="1:26" s="104" customFormat="1" ht="12.75" customHeight="1" x14ac:dyDescent="0.25">
      <c r="A205" s="501" t="s">
        <v>393</v>
      </c>
      <c r="B205" s="502"/>
      <c r="C205" s="502"/>
      <c r="D205" s="503"/>
      <c r="E205" s="381" t="s">
        <v>267</v>
      </c>
      <c r="F205" s="381">
        <v>1</v>
      </c>
      <c r="G205" s="342">
        <v>170000</v>
      </c>
      <c r="H205" s="504">
        <v>1</v>
      </c>
      <c r="I205" s="504"/>
      <c r="J205" s="382">
        <v>60000</v>
      </c>
      <c r="K205" s="382">
        <v>100000</v>
      </c>
      <c r="L205" s="382">
        <v>60000</v>
      </c>
      <c r="M205" s="244">
        <v>26411</v>
      </c>
      <c r="N205" s="233"/>
      <c r="O205" s="173"/>
      <c r="P205" s="173"/>
      <c r="Q205" s="173"/>
    </row>
    <row r="206" spans="1:26" s="104" customFormat="1" ht="12.75" customHeight="1" x14ac:dyDescent="0.25">
      <c r="A206" s="501" t="s">
        <v>548</v>
      </c>
      <c r="B206" s="502"/>
      <c r="C206" s="502"/>
      <c r="D206" s="503"/>
      <c r="E206" s="341" t="s">
        <v>267</v>
      </c>
      <c r="F206" s="341">
        <v>1</v>
      </c>
      <c r="G206" s="342">
        <v>10000</v>
      </c>
      <c r="H206" s="504">
        <v>1</v>
      </c>
      <c r="I206" s="504"/>
      <c r="J206" s="343">
        <v>10000</v>
      </c>
      <c r="K206" s="390">
        <v>10000</v>
      </c>
      <c r="L206" s="390">
        <v>10000</v>
      </c>
      <c r="M206" s="244">
        <v>26411</v>
      </c>
      <c r="N206" s="233"/>
      <c r="O206" s="173"/>
      <c r="P206" s="173"/>
      <c r="Q206" s="173"/>
    </row>
    <row r="207" spans="1:26" s="104" customFormat="1" ht="12.75" customHeight="1" x14ac:dyDescent="0.25">
      <c r="A207" s="501" t="s">
        <v>554</v>
      </c>
      <c r="B207" s="502"/>
      <c r="C207" s="502"/>
      <c r="D207" s="503"/>
      <c r="E207" s="388" t="s">
        <v>267</v>
      </c>
      <c r="F207" s="388">
        <v>1</v>
      </c>
      <c r="G207" s="342"/>
      <c r="H207" s="504">
        <v>1</v>
      </c>
      <c r="I207" s="504"/>
      <c r="J207" s="387"/>
      <c r="K207" s="387"/>
      <c r="L207" s="387"/>
      <c r="M207" s="244">
        <v>26411</v>
      </c>
      <c r="N207" s="233"/>
      <c r="O207" s="173"/>
      <c r="P207" s="173"/>
      <c r="Q207" s="173"/>
    </row>
    <row r="208" spans="1:26" s="104" customFormat="1" ht="12.75" customHeight="1" x14ac:dyDescent="0.25">
      <c r="A208" s="501" t="s">
        <v>556</v>
      </c>
      <c r="B208" s="502"/>
      <c r="C208" s="502"/>
      <c r="D208" s="503"/>
      <c r="E208" s="389" t="s">
        <v>267</v>
      </c>
      <c r="F208" s="389">
        <v>1</v>
      </c>
      <c r="G208" s="342"/>
      <c r="H208" s="504">
        <v>1</v>
      </c>
      <c r="I208" s="504"/>
      <c r="J208" s="390"/>
      <c r="K208" s="390"/>
      <c r="L208" s="390"/>
      <c r="M208" s="244">
        <v>26411</v>
      </c>
      <c r="N208" s="233"/>
      <c r="O208" s="173"/>
      <c r="P208" s="173"/>
      <c r="Q208" s="173"/>
    </row>
    <row r="209" spans="1:17" s="104" customFormat="1" ht="15" customHeight="1" x14ac:dyDescent="0.25">
      <c r="A209" s="501" t="s">
        <v>551</v>
      </c>
      <c r="B209" s="502"/>
      <c r="C209" s="502"/>
      <c r="D209" s="503"/>
      <c r="E209" s="356" t="s">
        <v>268</v>
      </c>
      <c r="F209" s="356">
        <v>1</v>
      </c>
      <c r="G209" s="349"/>
      <c r="H209" s="564">
        <v>1</v>
      </c>
      <c r="I209" s="564"/>
      <c r="J209" s="357"/>
      <c r="K209" s="357"/>
      <c r="L209" s="357"/>
      <c r="M209" s="244">
        <v>26411</v>
      </c>
      <c r="N209" s="233"/>
      <c r="O209" s="173"/>
      <c r="P209" s="173"/>
      <c r="Q209" s="173"/>
    </row>
    <row r="210" spans="1:17" s="104" customFormat="1" ht="12.75" customHeight="1" x14ac:dyDescent="0.25">
      <c r="A210" s="501" t="s">
        <v>488</v>
      </c>
      <c r="B210" s="502"/>
      <c r="C210" s="502"/>
      <c r="D210" s="503"/>
      <c r="E210" s="331" t="s">
        <v>269</v>
      </c>
      <c r="F210" s="331">
        <v>1</v>
      </c>
      <c r="G210" s="332"/>
      <c r="H210" s="524">
        <v>1</v>
      </c>
      <c r="I210" s="524"/>
      <c r="J210" s="333"/>
      <c r="K210" s="333"/>
      <c r="L210" s="333"/>
      <c r="M210" s="248">
        <v>26451</v>
      </c>
      <c r="N210" s="233"/>
      <c r="O210" s="173">
        <f>'Раздел 1'!F166</f>
        <v>0</v>
      </c>
      <c r="P210" s="173"/>
      <c r="Q210" s="173"/>
    </row>
    <row r="211" spans="1:17" s="104" customFormat="1" ht="12.75" customHeight="1" x14ac:dyDescent="0.25">
      <c r="A211" s="501" t="s">
        <v>489</v>
      </c>
      <c r="B211" s="502"/>
      <c r="C211" s="502"/>
      <c r="D211" s="503"/>
      <c r="E211" s="331" t="s">
        <v>269</v>
      </c>
      <c r="F211" s="331">
        <v>1</v>
      </c>
      <c r="G211" s="332"/>
      <c r="H211" s="524">
        <v>1</v>
      </c>
      <c r="I211" s="524"/>
      <c r="J211" s="333"/>
      <c r="K211" s="333"/>
      <c r="L211" s="333"/>
      <c r="M211" s="248">
        <v>26451</v>
      </c>
      <c r="N211" s="233"/>
      <c r="O211" s="173">
        <f>'Раздел 1'!F169</f>
        <v>0</v>
      </c>
      <c r="P211" s="173"/>
      <c r="Q211" s="173"/>
    </row>
    <row r="212" spans="1:17" s="104" customFormat="1" ht="12.75" customHeight="1" x14ac:dyDescent="0.25">
      <c r="A212" s="501" t="s">
        <v>554</v>
      </c>
      <c r="B212" s="502"/>
      <c r="C212" s="502"/>
      <c r="D212" s="503"/>
      <c r="E212" s="331" t="s">
        <v>269</v>
      </c>
      <c r="F212" s="331">
        <v>1</v>
      </c>
      <c r="G212" s="332"/>
      <c r="H212" s="524">
        <v>1</v>
      </c>
      <c r="I212" s="524"/>
      <c r="J212" s="333"/>
      <c r="K212" s="333"/>
      <c r="L212" s="333"/>
      <c r="M212" s="248">
        <v>26451</v>
      </c>
      <c r="N212" s="233"/>
      <c r="O212" s="173">
        <f>'Раздел 1'!F165</f>
        <v>1701600</v>
      </c>
      <c r="P212" s="173">
        <f>'Раздел 1'!G165</f>
        <v>1836800</v>
      </c>
      <c r="Q212" s="173">
        <f>'Раздел 1'!H165</f>
        <v>1640000</v>
      </c>
    </row>
    <row r="213" spans="1:17" s="104" customFormat="1" ht="12.75" customHeight="1" x14ac:dyDescent="0.25">
      <c r="A213" s="501" t="s">
        <v>505</v>
      </c>
      <c r="B213" s="502"/>
      <c r="C213" s="502"/>
      <c r="D213" s="503"/>
      <c r="E213" s="358" t="s">
        <v>269</v>
      </c>
      <c r="F213" s="358">
        <v>1</v>
      </c>
      <c r="G213" s="332">
        <v>60000</v>
      </c>
      <c r="H213" s="524">
        <v>1</v>
      </c>
      <c r="I213" s="524"/>
      <c r="J213" s="359">
        <f>60000+581139.12</f>
        <v>641139.12</v>
      </c>
      <c r="K213" s="416">
        <v>60000</v>
      </c>
      <c r="L213" s="416">
        <v>60000</v>
      </c>
      <c r="M213" s="248">
        <v>26451</v>
      </c>
      <c r="N213" s="233"/>
      <c r="O213" s="173">
        <f>'Раздел 1'!F167</f>
        <v>0</v>
      </c>
      <c r="P213" s="173">
        <f>'Раздел 1'!G167</f>
        <v>0</v>
      </c>
      <c r="Q213" s="173">
        <f>'Раздел 1'!H167</f>
        <v>0</v>
      </c>
    </row>
    <row r="214" spans="1:17" s="104" customFormat="1" ht="12.75" customHeight="1" thickBot="1" x14ac:dyDescent="0.3">
      <c r="A214" s="131"/>
      <c r="B214" s="132"/>
      <c r="C214" s="132"/>
      <c r="D214" s="133"/>
      <c r="E214" s="128"/>
      <c r="F214" s="128"/>
      <c r="G214" s="129"/>
      <c r="H214" s="555"/>
      <c r="I214" s="555"/>
      <c r="J214" s="130"/>
      <c r="K214" s="294"/>
      <c r="L214" s="294"/>
      <c r="M214" s="242">
        <v>26300</v>
      </c>
      <c r="N214" s="233"/>
      <c r="O214" s="173">
        <f>'Раздел 1'!F168</f>
        <v>641139.12</v>
      </c>
      <c r="P214" s="173">
        <f>'Раздел 1'!G168</f>
        <v>60000</v>
      </c>
      <c r="Q214" s="173">
        <f>'Раздел 1'!H168</f>
        <v>60000</v>
      </c>
    </row>
    <row r="215" spans="1:17" s="104" customFormat="1" ht="22.2" customHeight="1" thickBot="1" x14ac:dyDescent="0.3">
      <c r="A215" s="556" t="s">
        <v>311</v>
      </c>
      <c r="B215" s="557"/>
      <c r="C215" s="557"/>
      <c r="D215" s="557"/>
      <c r="E215" s="557"/>
      <c r="F215" s="557"/>
      <c r="G215" s="557"/>
      <c r="H215" s="558"/>
      <c r="I215" s="558"/>
      <c r="J215" s="106">
        <f>SUM(J200:J214)</f>
        <v>2342739.12</v>
      </c>
      <c r="K215" s="106">
        <f>SUM(K200:K214)</f>
        <v>1896800</v>
      </c>
      <c r="L215" s="106">
        <f>SUM(L200:L214)</f>
        <v>1700000</v>
      </c>
      <c r="M215" s="231"/>
      <c r="N215" s="233"/>
      <c r="O215" s="323">
        <f>SUM(O210:O214)</f>
        <v>2342739.12</v>
      </c>
      <c r="P215" s="323">
        <f>SUM(P212:P214)</f>
        <v>1896800</v>
      </c>
      <c r="Q215" s="323">
        <f>SUM(Q212:Q214)</f>
        <v>1700000</v>
      </c>
    </row>
    <row r="216" spans="1:17" s="74" customFormat="1" ht="12" customHeight="1" x14ac:dyDescent="0.25">
      <c r="A216" s="71"/>
      <c r="B216" s="71"/>
      <c r="C216" s="71"/>
      <c r="D216" s="71"/>
      <c r="E216" s="71"/>
      <c r="F216" s="71"/>
      <c r="G216" s="71"/>
      <c r="H216" s="71"/>
      <c r="I216" s="71"/>
      <c r="J216" s="164">
        <f>J215-O215</f>
        <v>0</v>
      </c>
      <c r="K216" s="164">
        <f>K215-P215</f>
        <v>0</v>
      </c>
      <c r="L216" s="164">
        <f>L215-Q215</f>
        <v>0</v>
      </c>
      <c r="M216" s="231"/>
      <c r="N216" s="231"/>
      <c r="O216" s="171"/>
      <c r="P216" s="171"/>
      <c r="Q216" s="171"/>
    </row>
    <row r="217" spans="1:17" s="67" customFormat="1" ht="13.8" x14ac:dyDescent="0.25">
      <c r="A217" s="507" t="s">
        <v>559</v>
      </c>
      <c r="B217" s="508"/>
      <c r="C217" s="508"/>
      <c r="D217" s="508"/>
      <c r="E217" s="508"/>
      <c r="F217" s="508"/>
      <c r="G217" s="508"/>
      <c r="H217" s="508"/>
      <c r="I217" s="508"/>
      <c r="J217" s="508"/>
      <c r="K217" s="281"/>
      <c r="L217" s="281"/>
      <c r="M217" s="229"/>
      <c r="N217" s="229"/>
      <c r="O217" s="169"/>
      <c r="P217" s="169"/>
      <c r="Q217" s="169"/>
    </row>
    <row r="218" spans="1:17" s="74" customFormat="1" ht="5.25" customHeight="1" thickBot="1" x14ac:dyDescent="0.3">
      <c r="A218" s="71"/>
      <c r="B218" s="71"/>
      <c r="C218" s="71"/>
      <c r="D218" s="71"/>
      <c r="E218" s="71"/>
      <c r="F218" s="71"/>
      <c r="G218" s="71"/>
      <c r="H218" s="71"/>
      <c r="I218" s="71"/>
      <c r="J218" s="71"/>
      <c r="K218" s="71"/>
      <c r="L218" s="71"/>
      <c r="M218" s="231"/>
      <c r="N218" s="231"/>
      <c r="O218" s="171"/>
      <c r="P218" s="171"/>
      <c r="Q218" s="171"/>
    </row>
    <row r="219" spans="1:17" s="67" customFormat="1" ht="50.4" customHeight="1" thickBot="1" x14ac:dyDescent="0.3">
      <c r="A219" s="121" t="s">
        <v>312</v>
      </c>
      <c r="B219" s="122"/>
      <c r="C219" s="122"/>
      <c r="D219" s="134" t="s">
        <v>394</v>
      </c>
      <c r="E219" s="134" t="s">
        <v>395</v>
      </c>
      <c r="F219" s="552" t="s">
        <v>377</v>
      </c>
      <c r="G219" s="553"/>
      <c r="H219" s="554" t="s">
        <v>396</v>
      </c>
      <c r="I219" s="554"/>
      <c r="J219" s="105" t="s">
        <v>397</v>
      </c>
      <c r="K219" s="292" t="s">
        <v>397</v>
      </c>
      <c r="L219" s="292" t="s">
        <v>397</v>
      </c>
      <c r="M219" s="229"/>
      <c r="N219" s="229"/>
      <c r="O219" s="169"/>
      <c r="P219" s="169"/>
      <c r="Q219" s="169"/>
    </row>
    <row r="220" spans="1:17" s="85" customFormat="1" ht="13.8" thickBot="1" x14ac:dyDescent="0.3">
      <c r="A220" s="114">
        <v>1</v>
      </c>
      <c r="B220" s="135"/>
      <c r="C220" s="136"/>
      <c r="D220" s="137">
        <v>2</v>
      </c>
      <c r="E220" s="137">
        <v>3</v>
      </c>
      <c r="F220" s="523">
        <v>4</v>
      </c>
      <c r="G220" s="523"/>
      <c r="H220" s="523">
        <v>5</v>
      </c>
      <c r="I220" s="523"/>
      <c r="J220" s="138" t="s">
        <v>398</v>
      </c>
      <c r="K220" s="138" t="s">
        <v>398</v>
      </c>
      <c r="L220" s="138" t="s">
        <v>398</v>
      </c>
      <c r="M220" s="232"/>
      <c r="N220" s="232"/>
      <c r="O220" s="172"/>
      <c r="P220" s="172"/>
      <c r="Q220" s="172"/>
    </row>
    <row r="221" spans="1:17" s="85" customFormat="1" ht="12.75" customHeight="1" x14ac:dyDescent="0.2">
      <c r="A221" s="520" t="s">
        <v>493</v>
      </c>
      <c r="B221" s="521"/>
      <c r="C221" s="522"/>
      <c r="D221" s="344" t="s">
        <v>267</v>
      </c>
      <c r="E221" s="345">
        <v>310</v>
      </c>
      <c r="F221" s="509">
        <v>1</v>
      </c>
      <c r="G221" s="510"/>
      <c r="H221" s="514"/>
      <c r="I221" s="515"/>
      <c r="J221" s="346">
        <v>24600</v>
      </c>
      <c r="K221" s="346">
        <v>24600</v>
      </c>
      <c r="L221" s="346">
        <v>24600</v>
      </c>
      <c r="M221" s="245">
        <v>26411</v>
      </c>
      <c r="N221" s="232"/>
      <c r="O221" s="172"/>
      <c r="P221" s="172"/>
      <c r="Q221" s="172"/>
    </row>
    <row r="222" spans="1:17" s="85" customFormat="1" ht="12.75" customHeight="1" x14ac:dyDescent="0.2">
      <c r="A222" s="571"/>
      <c r="B222" s="572"/>
      <c r="C222" s="573"/>
      <c r="D222" s="50"/>
      <c r="E222" s="119"/>
      <c r="F222" s="518"/>
      <c r="G222" s="519"/>
      <c r="H222" s="546"/>
      <c r="I222" s="547"/>
      <c r="J222" s="284"/>
      <c r="K222" s="284"/>
      <c r="L222" s="284"/>
      <c r="M222" s="245">
        <v>26411</v>
      </c>
      <c r="N222" s="232"/>
      <c r="O222" s="172">
        <f>'Раздел 1'!F173</f>
        <v>24600</v>
      </c>
      <c r="P222" s="172">
        <f>'Раздел 1'!G173</f>
        <v>24600</v>
      </c>
      <c r="Q222" s="172">
        <f>'Раздел 1'!H173</f>
        <v>24600</v>
      </c>
    </row>
    <row r="223" spans="1:17" s="85" customFormat="1" ht="28.5" customHeight="1" x14ac:dyDescent="0.25">
      <c r="A223" s="520" t="s">
        <v>494</v>
      </c>
      <c r="B223" s="521"/>
      <c r="C223" s="522"/>
      <c r="D223" s="402" t="s">
        <v>268</v>
      </c>
      <c r="E223" s="352">
        <v>310</v>
      </c>
      <c r="F223" s="516"/>
      <c r="G223" s="517"/>
      <c r="H223" s="540"/>
      <c r="I223" s="541"/>
      <c r="J223" s="353">
        <v>200000</v>
      </c>
      <c r="K223" s="353"/>
      <c r="L223" s="353"/>
      <c r="M223" s="246">
        <v>26421</v>
      </c>
      <c r="N223" s="232"/>
      <c r="O223" s="172">
        <f>'Раздел 1'!F174</f>
        <v>200000</v>
      </c>
      <c r="P223" s="172">
        <f>'Раздел 1'!G174</f>
        <v>0</v>
      </c>
      <c r="Q223" s="172">
        <f>'Раздел 1'!H174</f>
        <v>0</v>
      </c>
    </row>
    <row r="224" spans="1:17" s="85" customFormat="1" ht="28.5" customHeight="1" x14ac:dyDescent="0.25">
      <c r="A224" s="520" t="s">
        <v>569</v>
      </c>
      <c r="B224" s="521"/>
      <c r="C224" s="522"/>
      <c r="D224" s="402" t="s">
        <v>268</v>
      </c>
      <c r="E224" s="352">
        <v>310</v>
      </c>
      <c r="F224" s="516"/>
      <c r="G224" s="517"/>
      <c r="H224" s="540"/>
      <c r="I224" s="541"/>
      <c r="J224" s="353"/>
      <c r="K224" s="353"/>
      <c r="L224" s="353"/>
      <c r="M224" s="246">
        <v>26421</v>
      </c>
      <c r="N224" s="232"/>
      <c r="O224" s="172"/>
      <c r="P224" s="172"/>
      <c r="Q224" s="172"/>
    </row>
    <row r="225" spans="1:17" s="104" customFormat="1" ht="12.75" customHeight="1" thickBot="1" x14ac:dyDescent="0.3">
      <c r="A225" s="520" t="s">
        <v>493</v>
      </c>
      <c r="B225" s="521"/>
      <c r="C225" s="522"/>
      <c r="D225" s="334" t="s">
        <v>269</v>
      </c>
      <c r="E225" s="335" t="s">
        <v>279</v>
      </c>
      <c r="F225" s="548">
        <v>1</v>
      </c>
      <c r="G225" s="549"/>
      <c r="H225" s="550"/>
      <c r="I225" s="551"/>
      <c r="J225" s="336">
        <v>30000</v>
      </c>
      <c r="K225" s="336">
        <v>30000</v>
      </c>
      <c r="L225" s="336">
        <v>30000</v>
      </c>
      <c r="M225" s="247">
        <v>26451</v>
      </c>
      <c r="N225" s="233"/>
      <c r="O225" s="172">
        <f>'Раздел 1'!F175</f>
        <v>30000</v>
      </c>
      <c r="P225" s="172">
        <f>'Раздел 1'!G175</f>
        <v>30000</v>
      </c>
      <c r="Q225" s="172">
        <f>'Раздел 1'!H175</f>
        <v>30000</v>
      </c>
    </row>
    <row r="226" spans="1:17" s="104" customFormat="1" ht="12.75" hidden="1" customHeight="1" x14ac:dyDescent="0.25">
      <c r="A226" s="139"/>
      <c r="B226" s="111"/>
      <c r="C226" s="140"/>
      <c r="D226" s="50"/>
      <c r="E226" s="119"/>
      <c r="F226" s="505"/>
      <c r="G226" s="506"/>
      <c r="H226" s="505"/>
      <c r="I226" s="506"/>
      <c r="J226" s="284"/>
      <c r="K226" s="284"/>
      <c r="L226" s="284"/>
      <c r="M226" s="240">
        <v>26411</v>
      </c>
      <c r="N226" s="233"/>
      <c r="O226" s="172">
        <f>'Раздел 1'!F176</f>
        <v>0</v>
      </c>
      <c r="P226" s="172">
        <f>'Раздел 1'!G176</f>
        <v>0</v>
      </c>
      <c r="Q226" s="172">
        <f>'Раздел 1'!H176</f>
        <v>0</v>
      </c>
    </row>
    <row r="227" spans="1:17" s="104" customFormat="1" ht="12.75" hidden="1" customHeight="1" x14ac:dyDescent="0.25">
      <c r="A227" s="139"/>
      <c r="B227" s="111"/>
      <c r="C227" s="140"/>
      <c r="D227" s="50"/>
      <c r="E227" s="119"/>
      <c r="F227" s="505"/>
      <c r="G227" s="506"/>
      <c r="H227" s="505"/>
      <c r="I227" s="506"/>
      <c r="J227" s="284"/>
      <c r="K227" s="284"/>
      <c r="L227" s="284"/>
      <c r="M227" s="243">
        <v>26421</v>
      </c>
      <c r="N227" s="233"/>
      <c r="O227" s="172">
        <f>'Раздел 1'!F177</f>
        <v>0</v>
      </c>
      <c r="P227" s="172">
        <f>'Раздел 1'!G177</f>
        <v>0</v>
      </c>
      <c r="Q227" s="172">
        <f>'Раздел 1'!H177</f>
        <v>0</v>
      </c>
    </row>
    <row r="228" spans="1:17" ht="27.75" customHeight="1" thickBot="1" x14ac:dyDescent="0.3">
      <c r="A228" s="495" t="s">
        <v>311</v>
      </c>
      <c r="B228" s="496"/>
      <c r="C228" s="496"/>
      <c r="D228" s="496"/>
      <c r="E228" s="496"/>
      <c r="F228" s="497"/>
      <c r="G228" s="497"/>
      <c r="H228" s="497"/>
      <c r="I228" s="497"/>
      <c r="J228" s="141">
        <f>SUM(J221:J225)</f>
        <v>254600</v>
      </c>
      <c r="K228" s="141">
        <f>SUM(K221:K225)</f>
        <v>54600</v>
      </c>
      <c r="L228" s="141">
        <f>SUM(L221:L225)</f>
        <v>54600</v>
      </c>
      <c r="O228" s="326">
        <f>SUM(O221:O225)</f>
        <v>254600</v>
      </c>
      <c r="P228" s="326">
        <f>SUM(P221:P225)</f>
        <v>54600</v>
      </c>
      <c r="Q228" s="326">
        <f>SUM(Q221:Q225)</f>
        <v>54600</v>
      </c>
    </row>
    <row r="229" spans="1:17" ht="27.75" customHeight="1" x14ac:dyDescent="0.25">
      <c r="A229" s="163"/>
      <c r="B229" s="163"/>
      <c r="C229" s="163"/>
      <c r="D229" s="163"/>
      <c r="E229" s="163"/>
      <c r="F229" s="163"/>
      <c r="G229" s="163"/>
      <c r="H229" s="163"/>
      <c r="I229" s="163"/>
      <c r="J229" s="164">
        <f>J228-O228</f>
        <v>0</v>
      </c>
      <c r="K229" s="401"/>
      <c r="L229" s="401"/>
      <c r="O229" s="326"/>
      <c r="P229" s="326"/>
      <c r="Q229" s="326"/>
    </row>
    <row r="230" spans="1:17" s="104" customFormat="1" ht="61.5" customHeight="1" thickBot="1" x14ac:dyDescent="0.3">
      <c r="A230" s="498" t="s">
        <v>560</v>
      </c>
      <c r="B230" s="499"/>
      <c r="C230" s="499"/>
      <c r="D230" s="499"/>
      <c r="E230" s="499"/>
      <c r="F230" s="499"/>
      <c r="G230" s="499"/>
      <c r="H230" s="499"/>
      <c r="I230" s="499"/>
      <c r="J230" s="499"/>
      <c r="K230" s="499"/>
      <c r="L230" s="500"/>
      <c r="M230" s="243"/>
      <c r="N230" s="233"/>
      <c r="O230" s="172"/>
      <c r="P230" s="172"/>
      <c r="Q230" s="172"/>
    </row>
    <row r="231" spans="1:17" s="104" customFormat="1" ht="42" customHeight="1" thickBot="1" x14ac:dyDescent="0.3">
      <c r="A231" s="394" t="s">
        <v>312</v>
      </c>
      <c r="B231" s="395"/>
      <c r="C231" s="396"/>
      <c r="D231" s="392" t="s">
        <v>394</v>
      </c>
      <c r="E231" s="392" t="s">
        <v>395</v>
      </c>
      <c r="F231" s="552" t="s">
        <v>377</v>
      </c>
      <c r="G231" s="553"/>
      <c r="H231" s="554" t="s">
        <v>396</v>
      </c>
      <c r="I231" s="554"/>
      <c r="J231" s="393" t="s">
        <v>397</v>
      </c>
      <c r="K231" s="393" t="s">
        <v>397</v>
      </c>
      <c r="L231" s="393" t="s">
        <v>397</v>
      </c>
      <c r="M231" s="243"/>
      <c r="N231" s="233"/>
      <c r="O231" s="172"/>
      <c r="P231" s="172"/>
      <c r="Q231" s="172"/>
    </row>
    <row r="232" spans="1:17" s="104" customFormat="1" ht="16.5" customHeight="1" x14ac:dyDescent="0.25">
      <c r="A232" s="394">
        <v>1</v>
      </c>
      <c r="B232" s="395"/>
      <c r="C232" s="396"/>
      <c r="D232" s="397">
        <v>2</v>
      </c>
      <c r="E232" s="398">
        <v>3</v>
      </c>
      <c r="F232" s="614">
        <v>4</v>
      </c>
      <c r="G232" s="626"/>
      <c r="H232" s="614">
        <v>5</v>
      </c>
      <c r="I232" s="626"/>
      <c r="J232" s="138" t="s">
        <v>398</v>
      </c>
      <c r="K232" s="138" t="s">
        <v>398</v>
      </c>
      <c r="L232" s="138" t="s">
        <v>398</v>
      </c>
      <c r="M232" s="243"/>
      <c r="N232" s="233"/>
      <c r="O232" s="172"/>
      <c r="P232" s="172"/>
      <c r="Q232" s="172"/>
    </row>
    <row r="233" spans="1:17" s="104" customFormat="1" ht="12.75" customHeight="1" x14ac:dyDescent="0.25">
      <c r="A233" s="139" t="s">
        <v>495</v>
      </c>
      <c r="B233" s="111"/>
      <c r="C233" s="140"/>
      <c r="D233" s="351" t="s">
        <v>268</v>
      </c>
      <c r="E233" s="352">
        <v>349</v>
      </c>
      <c r="F233" s="532"/>
      <c r="G233" s="533"/>
      <c r="H233" s="534"/>
      <c r="I233" s="535"/>
      <c r="J233" s="353">
        <v>100740</v>
      </c>
      <c r="K233" s="353"/>
      <c r="L233" s="353"/>
      <c r="M233" s="247">
        <v>26451</v>
      </c>
      <c r="N233" s="233"/>
      <c r="O233" s="172">
        <f>'Раздел 1'!F178</f>
        <v>0</v>
      </c>
      <c r="P233" s="172">
        <f>'Раздел 1'!G178</f>
        <v>0</v>
      </c>
      <c r="Q233" s="172">
        <f>'Раздел 1'!H178</f>
        <v>0</v>
      </c>
    </row>
    <row r="234" spans="1:17" s="104" customFormat="1" ht="12.75" customHeight="1" x14ac:dyDescent="0.25">
      <c r="A234" s="520" t="s">
        <v>496</v>
      </c>
      <c r="B234" s="521"/>
      <c r="C234" s="522"/>
      <c r="D234" s="334" t="s">
        <v>269</v>
      </c>
      <c r="E234" s="335">
        <v>342</v>
      </c>
      <c r="F234" s="542">
        <v>1</v>
      </c>
      <c r="G234" s="543"/>
      <c r="H234" s="544"/>
      <c r="I234" s="545"/>
      <c r="J234" s="336"/>
      <c r="K234" s="336"/>
      <c r="L234" s="336"/>
      <c r="M234" s="240">
        <v>26411</v>
      </c>
      <c r="N234" s="233"/>
      <c r="O234" s="172">
        <f>'Раздел 1'!F179</f>
        <v>0</v>
      </c>
      <c r="P234" s="172">
        <f>'Раздел 1'!G179</f>
        <v>0</v>
      </c>
      <c r="Q234" s="172">
        <f>'Раздел 1'!H179</f>
        <v>0</v>
      </c>
    </row>
    <row r="235" spans="1:17" s="104" customFormat="1" ht="12.75" customHeight="1" x14ac:dyDescent="0.25">
      <c r="A235" s="619"/>
      <c r="B235" s="620"/>
      <c r="C235" s="621"/>
      <c r="D235" s="375" t="s">
        <v>268</v>
      </c>
      <c r="E235" s="376">
        <v>344</v>
      </c>
      <c r="F235" s="622"/>
      <c r="G235" s="623"/>
      <c r="H235" s="624"/>
      <c r="I235" s="625"/>
      <c r="J235" s="377"/>
      <c r="K235" s="377"/>
      <c r="L235" s="377"/>
      <c r="M235" s="240">
        <v>26411</v>
      </c>
      <c r="N235" s="233"/>
      <c r="O235" s="172">
        <f>'Раздел 1'!F180</f>
        <v>0</v>
      </c>
      <c r="P235" s="172">
        <f>'Раздел 1'!G180</f>
        <v>0</v>
      </c>
      <c r="Q235" s="172">
        <f>'Раздел 1'!H180</f>
        <v>0</v>
      </c>
    </row>
    <row r="236" spans="1:17" s="104" customFormat="1" ht="12.75" customHeight="1" x14ac:dyDescent="0.25">
      <c r="A236" s="139" t="s">
        <v>399</v>
      </c>
      <c r="B236" s="111"/>
      <c r="C236" s="140"/>
      <c r="D236" s="334" t="s">
        <v>269</v>
      </c>
      <c r="E236" s="335" t="s">
        <v>281</v>
      </c>
      <c r="F236" s="542">
        <v>1</v>
      </c>
      <c r="G236" s="543"/>
      <c r="H236" s="544"/>
      <c r="I236" s="545"/>
      <c r="J236" s="336">
        <f>34800+200000</f>
        <v>234800</v>
      </c>
      <c r="K236" s="336">
        <v>34800</v>
      </c>
      <c r="L236" s="336">
        <v>34800</v>
      </c>
      <c r="M236" s="247">
        <v>26451</v>
      </c>
      <c r="N236" s="233"/>
      <c r="O236" s="172">
        <f>'Раздел 1'!F181</f>
        <v>234800</v>
      </c>
      <c r="P236" s="172">
        <f>'Раздел 1'!G181</f>
        <v>34800</v>
      </c>
      <c r="Q236" s="172">
        <f>'Раздел 1'!H181</f>
        <v>34800</v>
      </c>
    </row>
    <row r="237" spans="1:17" s="104" customFormat="1" ht="12.75" customHeight="1" x14ac:dyDescent="0.25">
      <c r="A237" s="139" t="s">
        <v>400</v>
      </c>
      <c r="B237" s="111"/>
      <c r="C237" s="140"/>
      <c r="D237" s="344" t="s">
        <v>267</v>
      </c>
      <c r="E237" s="347" t="s">
        <v>283</v>
      </c>
      <c r="F237" s="525">
        <v>1</v>
      </c>
      <c r="G237" s="526"/>
      <c r="H237" s="527"/>
      <c r="I237" s="528"/>
      <c r="J237" s="346"/>
      <c r="K237" s="346"/>
      <c r="L237" s="346"/>
      <c r="M237" s="240">
        <v>26411</v>
      </c>
      <c r="N237" s="233"/>
      <c r="O237" s="172">
        <f>'Раздел 1'!F185</f>
        <v>100740</v>
      </c>
      <c r="P237" s="172">
        <f>'Раздел 1'!G176</f>
        <v>0</v>
      </c>
      <c r="Q237" s="172">
        <f>'Раздел 1'!H176</f>
        <v>0</v>
      </c>
    </row>
    <row r="238" spans="1:17" s="104" customFormat="1" ht="12.75" customHeight="1" x14ac:dyDescent="0.25">
      <c r="A238" s="139" t="s">
        <v>400</v>
      </c>
      <c r="B238" s="111"/>
      <c r="C238" s="140"/>
      <c r="D238" s="351" t="s">
        <v>268</v>
      </c>
      <c r="E238" s="352" t="s">
        <v>283</v>
      </c>
      <c r="F238" s="540">
        <v>1</v>
      </c>
      <c r="G238" s="541"/>
      <c r="H238" s="534"/>
      <c r="I238" s="535"/>
      <c r="J238" s="353"/>
      <c r="K238" s="353"/>
      <c r="L238" s="353"/>
      <c r="M238" s="243">
        <v>26421</v>
      </c>
      <c r="N238" s="233"/>
      <c r="O238" s="172">
        <f>'Раздел 1'!F186</f>
        <v>0</v>
      </c>
      <c r="P238" s="172">
        <f>'Раздел 1'!G186</f>
        <v>0</v>
      </c>
      <c r="Q238" s="172">
        <f>'Раздел 1'!H186</f>
        <v>0</v>
      </c>
    </row>
    <row r="239" spans="1:17" s="104" customFormat="1" ht="12.75" hidden="1" customHeight="1" x14ac:dyDescent="0.25">
      <c r="A239" s="139"/>
      <c r="B239" s="111"/>
      <c r="C239" s="140"/>
      <c r="D239" s="50"/>
      <c r="E239" s="207"/>
      <c r="F239" s="505"/>
      <c r="G239" s="506"/>
      <c r="H239" s="538"/>
      <c r="I239" s="539"/>
      <c r="J239" s="284"/>
      <c r="K239" s="284"/>
      <c r="L239" s="284"/>
      <c r="M239" s="247">
        <v>26451</v>
      </c>
      <c r="N239" s="233"/>
      <c r="O239" s="172"/>
      <c r="P239" s="172"/>
      <c r="Q239" s="172"/>
    </row>
    <row r="240" spans="1:17" s="104" customFormat="1" ht="12.75" customHeight="1" x14ac:dyDescent="0.25">
      <c r="A240" s="139" t="s">
        <v>400</v>
      </c>
      <c r="B240" s="111"/>
      <c r="C240" s="140"/>
      <c r="D240" s="334" t="s">
        <v>269</v>
      </c>
      <c r="E240" s="335" t="s">
        <v>283</v>
      </c>
      <c r="F240" s="548">
        <v>1</v>
      </c>
      <c r="G240" s="549"/>
      <c r="H240" s="544"/>
      <c r="I240" s="545"/>
      <c r="J240" s="336">
        <f>20000+200000</f>
        <v>220000</v>
      </c>
      <c r="K240" s="336">
        <v>20000</v>
      </c>
      <c r="L240" s="336">
        <v>20000</v>
      </c>
      <c r="M240" s="247">
        <v>26451</v>
      </c>
      <c r="N240" s="233"/>
      <c r="O240" s="172">
        <f>'Раздел 1'!F187</f>
        <v>220000</v>
      </c>
      <c r="P240" s="172">
        <f>'Раздел 1'!G187</f>
        <v>20000</v>
      </c>
      <c r="Q240" s="172">
        <f>'Раздел 1'!H187</f>
        <v>20000</v>
      </c>
    </row>
    <row r="241" spans="1:17" s="104" customFormat="1" ht="12.75" customHeight="1" x14ac:dyDescent="0.3">
      <c r="A241" s="139" t="s">
        <v>400</v>
      </c>
      <c r="B241" s="111"/>
      <c r="C241" s="140"/>
      <c r="D241" s="373" t="s">
        <v>501</v>
      </c>
      <c r="E241" s="347">
        <v>349</v>
      </c>
      <c r="F241" s="525"/>
      <c r="G241" s="526"/>
      <c r="H241" s="527"/>
      <c r="I241" s="528"/>
      <c r="J241" s="346"/>
      <c r="K241" s="346"/>
      <c r="L241" s="346"/>
      <c r="M241" s="240">
        <v>26411</v>
      </c>
      <c r="N241" s="233"/>
      <c r="O241" s="172">
        <f>'Раздел 1'!F188</f>
        <v>0</v>
      </c>
      <c r="P241" s="172">
        <f>'Раздел 1'!G188</f>
        <v>0</v>
      </c>
      <c r="Q241" s="172">
        <f>'Раздел 1'!H188</f>
        <v>0</v>
      </c>
    </row>
    <row r="242" spans="1:17" s="104" customFormat="1" ht="12.75" customHeight="1" x14ac:dyDescent="0.25">
      <c r="A242" s="139" t="s">
        <v>400</v>
      </c>
      <c r="B242" s="111"/>
      <c r="C242" s="140"/>
      <c r="D242" s="351" t="s">
        <v>268</v>
      </c>
      <c r="E242" s="352">
        <v>349</v>
      </c>
      <c r="F242" s="540">
        <v>1</v>
      </c>
      <c r="G242" s="541"/>
      <c r="H242" s="534"/>
      <c r="I242" s="535"/>
      <c r="J242" s="353"/>
      <c r="K242" s="353"/>
      <c r="L242" s="353"/>
      <c r="M242" s="243">
        <v>26421</v>
      </c>
      <c r="N242" s="233"/>
      <c r="O242" s="172">
        <f>'Раздел 1'!F190</f>
        <v>0</v>
      </c>
      <c r="P242" s="172">
        <f>'Раздел 1'!G190</f>
        <v>0</v>
      </c>
      <c r="Q242" s="172">
        <f>'Раздел 1'!H190</f>
        <v>0</v>
      </c>
    </row>
    <row r="243" spans="1:17" s="104" customFormat="1" ht="12.75" customHeight="1" x14ac:dyDescent="0.25">
      <c r="A243" s="139"/>
      <c r="B243" s="111"/>
      <c r="C243" s="140"/>
      <c r="D243" s="50"/>
      <c r="E243" s="119"/>
      <c r="F243" s="505"/>
      <c r="G243" s="506"/>
      <c r="H243" s="536"/>
      <c r="I243" s="537"/>
      <c r="J243" s="284"/>
      <c r="K243" s="284"/>
      <c r="L243" s="284"/>
      <c r="M243" s="243">
        <v>26421</v>
      </c>
      <c r="N243" s="233"/>
      <c r="O243" s="172">
        <f>'Раздел 1'!F189</f>
        <v>0</v>
      </c>
      <c r="P243" s="172">
        <f>'Раздел 1'!G189</f>
        <v>0</v>
      </c>
      <c r="Q243" s="172">
        <f>'Раздел 1'!H189</f>
        <v>0</v>
      </c>
    </row>
    <row r="244" spans="1:17" s="104" customFormat="1" ht="12.75" customHeight="1" thickBot="1" x14ac:dyDescent="0.3">
      <c r="A244" s="139"/>
      <c r="B244" s="111"/>
      <c r="C244" s="140"/>
      <c r="D244" s="50"/>
      <c r="E244" s="119"/>
      <c r="F244" s="505"/>
      <c r="G244" s="506"/>
      <c r="H244" s="536"/>
      <c r="I244" s="537"/>
      <c r="J244" s="305"/>
      <c r="K244" s="305"/>
      <c r="L244" s="305"/>
      <c r="M244" s="233"/>
      <c r="N244" s="233"/>
      <c r="O244" s="172">
        <f>'Раздел 1'!F190</f>
        <v>0</v>
      </c>
      <c r="P244" s="172">
        <f>'Раздел 1'!G190</f>
        <v>0</v>
      </c>
      <c r="Q244" s="172">
        <f>'Раздел 1'!H190</f>
        <v>0</v>
      </c>
    </row>
    <row r="245" spans="1:17" ht="28.95" customHeight="1" thickBot="1" x14ac:dyDescent="0.3">
      <c r="A245" s="495" t="s">
        <v>311</v>
      </c>
      <c r="B245" s="496"/>
      <c r="C245" s="496"/>
      <c r="D245" s="496"/>
      <c r="E245" s="496"/>
      <c r="F245" s="497"/>
      <c r="G245" s="497"/>
      <c r="H245" s="497"/>
      <c r="I245" s="497"/>
      <c r="J245" s="141">
        <f>SUM(J231:J244)</f>
        <v>555540</v>
      </c>
      <c r="K245" s="141">
        <f>SUM(K231:K244)</f>
        <v>54800</v>
      </c>
      <c r="L245" s="141">
        <f>SUM(L231:L244)</f>
        <v>54800</v>
      </c>
      <c r="O245" s="326">
        <f>SUM(O233:O244)</f>
        <v>555540</v>
      </c>
      <c r="P245" s="326">
        <f>SUM(P233:P244)</f>
        <v>54800</v>
      </c>
      <c r="Q245" s="326">
        <f>SUM(Q233:Q244)</f>
        <v>54800</v>
      </c>
    </row>
    <row r="246" spans="1:17" x14ac:dyDescent="0.25">
      <c r="J246" s="164">
        <f>J245-O245</f>
        <v>0</v>
      </c>
      <c r="K246" s="164">
        <f>K245-P245</f>
        <v>0</v>
      </c>
      <c r="L246" s="164">
        <f>L245-Q245</f>
        <v>0</v>
      </c>
      <c r="O246" s="167">
        <f>O33+O41+O49+O61+O77+O89+O103+O115+O133+O142+O161+O169+O194+O215+O245+O228</f>
        <v>50374350.829999991</v>
      </c>
      <c r="P246" s="167">
        <f>P33+P41+P49+P61+P77+P89+P103+P115+P133+P142+P161+P169+P194+P215+P245+P228</f>
        <v>47668523.549999997</v>
      </c>
      <c r="Q246" s="167">
        <f>Q33+Q41+Q49+Q61+Q77+Q89+Q103+Q115+Q133+Q142+Q161+Q169+Q194+Q215+Q245+Q228</f>
        <v>47552723.549999997</v>
      </c>
    </row>
    <row r="247" spans="1:17" x14ac:dyDescent="0.25">
      <c r="J247" s="175">
        <f>O246-O247</f>
        <v>0</v>
      </c>
      <c r="K247" s="175">
        <f>P246-P247</f>
        <v>0</v>
      </c>
      <c r="L247" s="175">
        <f>Q246-Q247</f>
        <v>0</v>
      </c>
      <c r="O247" s="167">
        <f>'Раздел 1'!F83</f>
        <v>50374350.829999998</v>
      </c>
      <c r="P247" s="167">
        <f>'Раздел 1'!G83</f>
        <v>47668523.549999997</v>
      </c>
      <c r="Q247" s="167">
        <f>'Раздел 1'!H83</f>
        <v>47552723.549999997</v>
      </c>
    </row>
    <row r="249" spans="1:17" x14ac:dyDescent="0.25">
      <c r="J249" s="324">
        <v>21766065.800000001</v>
      </c>
      <c r="K249" s="324">
        <v>5415310</v>
      </c>
      <c r="L249" s="324">
        <v>5377970</v>
      </c>
    </row>
    <row r="251" spans="1:17" x14ac:dyDescent="0.25">
      <c r="J251" s="325"/>
      <c r="K251" s="325"/>
      <c r="L251" s="325"/>
      <c r="M251" s="325">
        <f>M247-M249</f>
        <v>0</v>
      </c>
      <c r="N251" s="325">
        <f>N247-N249</f>
        <v>0</v>
      </c>
    </row>
  </sheetData>
  <autoFilter ref="M83:M247"/>
  <mergeCells count="387">
    <mergeCell ref="A224:C224"/>
    <mergeCell ref="F224:G224"/>
    <mergeCell ref="H224:I224"/>
    <mergeCell ref="A211:D211"/>
    <mergeCell ref="A208:D208"/>
    <mergeCell ref="H208:I208"/>
    <mergeCell ref="H211:I211"/>
    <mergeCell ref="H204:I204"/>
    <mergeCell ref="A205:D205"/>
    <mergeCell ref="H205:I205"/>
    <mergeCell ref="A210:D210"/>
    <mergeCell ref="H210:I210"/>
    <mergeCell ref="A204:D204"/>
    <mergeCell ref="A206:D206"/>
    <mergeCell ref="H206:I206"/>
    <mergeCell ref="A235:C235"/>
    <mergeCell ref="F235:G235"/>
    <mergeCell ref="H235:I235"/>
    <mergeCell ref="A209:D209"/>
    <mergeCell ref="A223:C223"/>
    <mergeCell ref="A222:C222"/>
    <mergeCell ref="A225:C225"/>
    <mergeCell ref="H209:I209"/>
    <mergeCell ref="F232:G232"/>
    <mergeCell ref="H232:I232"/>
    <mergeCell ref="J138:K138"/>
    <mergeCell ref="F139:I139"/>
    <mergeCell ref="J139:K139"/>
    <mergeCell ref="F140:I140"/>
    <mergeCell ref="J140:K140"/>
    <mergeCell ref="F141:I141"/>
    <mergeCell ref="J141:K141"/>
    <mergeCell ref="L20:L22"/>
    <mergeCell ref="A84:E84"/>
    <mergeCell ref="F84:G84"/>
    <mergeCell ref="H84:I84"/>
    <mergeCell ref="F137:I137"/>
    <mergeCell ref="J137:K137"/>
    <mergeCell ref="C20:C22"/>
    <mergeCell ref="D38:E38"/>
    <mergeCell ref="F38:G38"/>
    <mergeCell ref="A40:C40"/>
    <mergeCell ref="J165:K165"/>
    <mergeCell ref="K20:K22"/>
    <mergeCell ref="F37:G37"/>
    <mergeCell ref="H37:I37"/>
    <mergeCell ref="D20:G20"/>
    <mergeCell ref="H41:I41"/>
    <mergeCell ref="J20:J22"/>
    <mergeCell ref="D21:D22"/>
    <mergeCell ref="E21:G21"/>
    <mergeCell ref="A35:J35"/>
    <mergeCell ref="A132:C132"/>
    <mergeCell ref="D132:E132"/>
    <mergeCell ref="F132:G132"/>
    <mergeCell ref="H132:I132"/>
    <mergeCell ref="A38:C38"/>
    <mergeCell ref="A41:C41"/>
    <mergeCell ref="D41:E41"/>
    <mergeCell ref="F41:G41"/>
    <mergeCell ref="A43:J43"/>
    <mergeCell ref="A45:C45"/>
    <mergeCell ref="A37:C37"/>
    <mergeCell ref="D37:E37"/>
    <mergeCell ref="H38:I38"/>
    <mergeCell ref="A39:C39"/>
    <mergeCell ref="D39:E39"/>
    <mergeCell ref="F39:G39"/>
    <mergeCell ref="H39:I39"/>
    <mergeCell ref="H20:H22"/>
    <mergeCell ref="A20:A22"/>
    <mergeCell ref="I20:I22"/>
    <mergeCell ref="B20:B22"/>
    <mergeCell ref="D45:E45"/>
    <mergeCell ref="F45:G45"/>
    <mergeCell ref="H45:I45"/>
    <mergeCell ref="D40:E40"/>
    <mergeCell ref="F40:G40"/>
    <mergeCell ref="H40:I40"/>
    <mergeCell ref="A46:C46"/>
    <mergeCell ref="D46:E46"/>
    <mergeCell ref="F46:G46"/>
    <mergeCell ref="H46:I46"/>
    <mergeCell ref="A47:C47"/>
    <mergeCell ref="D47:E47"/>
    <mergeCell ref="F47:G47"/>
    <mergeCell ref="H47:I47"/>
    <mergeCell ref="A48:C48"/>
    <mergeCell ref="D48:E48"/>
    <mergeCell ref="F48:G48"/>
    <mergeCell ref="H48:I48"/>
    <mergeCell ref="A49:C49"/>
    <mergeCell ref="D49:E49"/>
    <mergeCell ref="F49:G49"/>
    <mergeCell ref="H49:I49"/>
    <mergeCell ref="A51:J51"/>
    <mergeCell ref="A53:G53"/>
    <mergeCell ref="H53:I53"/>
    <mergeCell ref="H54:I54"/>
    <mergeCell ref="A57:G57"/>
    <mergeCell ref="H57:I57"/>
    <mergeCell ref="A58:G58"/>
    <mergeCell ref="H58:I58"/>
    <mergeCell ref="A59:G59"/>
    <mergeCell ref="H59:I59"/>
    <mergeCell ref="A60:G60"/>
    <mergeCell ref="H60:I60"/>
    <mergeCell ref="A61:G61"/>
    <mergeCell ref="H61:I61"/>
    <mergeCell ref="A63:J63"/>
    <mergeCell ref="A65:J65"/>
    <mergeCell ref="B67:J67"/>
    <mergeCell ref="E69:J69"/>
    <mergeCell ref="A71:E71"/>
    <mergeCell ref="F71:G71"/>
    <mergeCell ref="H71:I71"/>
    <mergeCell ref="A72:E72"/>
    <mergeCell ref="F72:G72"/>
    <mergeCell ref="H72:I72"/>
    <mergeCell ref="A73:E73"/>
    <mergeCell ref="F73:G73"/>
    <mergeCell ref="H73:I73"/>
    <mergeCell ref="A74:E74"/>
    <mergeCell ref="F74:G74"/>
    <mergeCell ref="H74:I74"/>
    <mergeCell ref="A75:E75"/>
    <mergeCell ref="F75:G75"/>
    <mergeCell ref="H75:I75"/>
    <mergeCell ref="A77:E77"/>
    <mergeCell ref="F77:G77"/>
    <mergeCell ref="H77:I77"/>
    <mergeCell ref="F76:G76"/>
    <mergeCell ref="A76:E76"/>
    <mergeCell ref="H76:I76"/>
    <mergeCell ref="B79:J79"/>
    <mergeCell ref="E81:J81"/>
    <mergeCell ref="A83:E83"/>
    <mergeCell ref="F83:G83"/>
    <mergeCell ref="H83:I83"/>
    <mergeCell ref="A85:E85"/>
    <mergeCell ref="F85:G85"/>
    <mergeCell ref="H85:I85"/>
    <mergeCell ref="A86:E86"/>
    <mergeCell ref="F86:G86"/>
    <mergeCell ref="H86:I86"/>
    <mergeCell ref="A87:E87"/>
    <mergeCell ref="F87:G87"/>
    <mergeCell ref="H87:I87"/>
    <mergeCell ref="A88:E88"/>
    <mergeCell ref="F88:G88"/>
    <mergeCell ref="H88:I88"/>
    <mergeCell ref="A89:E89"/>
    <mergeCell ref="F89:G89"/>
    <mergeCell ref="H89:I89"/>
    <mergeCell ref="A91:J91"/>
    <mergeCell ref="B93:J93"/>
    <mergeCell ref="E95:J95"/>
    <mergeCell ref="A97:E97"/>
    <mergeCell ref="F97:G97"/>
    <mergeCell ref="H97:I97"/>
    <mergeCell ref="A98:E98"/>
    <mergeCell ref="F98:G98"/>
    <mergeCell ref="H98:I98"/>
    <mergeCell ref="A99:E99"/>
    <mergeCell ref="F99:G99"/>
    <mergeCell ref="H99:I99"/>
    <mergeCell ref="A100:E100"/>
    <mergeCell ref="F100:G100"/>
    <mergeCell ref="H100:I100"/>
    <mergeCell ref="A101:E101"/>
    <mergeCell ref="F101:G101"/>
    <mergeCell ref="H101:I101"/>
    <mergeCell ref="A102:E102"/>
    <mergeCell ref="F102:G102"/>
    <mergeCell ref="H102:I102"/>
    <mergeCell ref="A103:E103"/>
    <mergeCell ref="F103:G103"/>
    <mergeCell ref="H103:I103"/>
    <mergeCell ref="A105:J105"/>
    <mergeCell ref="B107:J107"/>
    <mergeCell ref="E109:J109"/>
    <mergeCell ref="A111:E111"/>
    <mergeCell ref="F111:G111"/>
    <mergeCell ref="H111:I111"/>
    <mergeCell ref="A112:E112"/>
    <mergeCell ref="F112:G112"/>
    <mergeCell ref="H112:I112"/>
    <mergeCell ref="A113:E113"/>
    <mergeCell ref="F113:G113"/>
    <mergeCell ref="H113:I113"/>
    <mergeCell ref="A114:E114"/>
    <mergeCell ref="F114:G114"/>
    <mergeCell ref="H114:I114"/>
    <mergeCell ref="A115:E115"/>
    <mergeCell ref="F115:G115"/>
    <mergeCell ref="H115:I115"/>
    <mergeCell ref="A117:J117"/>
    <mergeCell ref="B119:J119"/>
    <mergeCell ref="E121:J121"/>
    <mergeCell ref="A123:J123"/>
    <mergeCell ref="A125:C125"/>
    <mergeCell ref="D125:E125"/>
    <mergeCell ref="F125:G125"/>
    <mergeCell ref="H125:I125"/>
    <mergeCell ref="A126:C126"/>
    <mergeCell ref="D126:E126"/>
    <mergeCell ref="F126:G126"/>
    <mergeCell ref="H126:I126"/>
    <mergeCell ref="A129:C129"/>
    <mergeCell ref="D129:E129"/>
    <mergeCell ref="F129:G129"/>
    <mergeCell ref="H129:I129"/>
    <mergeCell ref="H127:I127"/>
    <mergeCell ref="D127:E127"/>
    <mergeCell ref="D130:E130"/>
    <mergeCell ref="F130:G130"/>
    <mergeCell ref="H130:I130"/>
    <mergeCell ref="A131:C131"/>
    <mergeCell ref="D131:E131"/>
    <mergeCell ref="F131:G131"/>
    <mergeCell ref="H131:I131"/>
    <mergeCell ref="F146:G146"/>
    <mergeCell ref="H146:I146"/>
    <mergeCell ref="A133:C133"/>
    <mergeCell ref="D133:E133"/>
    <mergeCell ref="F133:G133"/>
    <mergeCell ref="H133:I133"/>
    <mergeCell ref="A135:J135"/>
    <mergeCell ref="F145:G145"/>
    <mergeCell ref="B137:E137"/>
    <mergeCell ref="H145:I145"/>
    <mergeCell ref="F165:I165"/>
    <mergeCell ref="A158:C158"/>
    <mergeCell ref="A159:C159"/>
    <mergeCell ref="A160:C160"/>
    <mergeCell ref="A147:C147"/>
    <mergeCell ref="A150:C150"/>
    <mergeCell ref="A154:C154"/>
    <mergeCell ref="A156:C156"/>
    <mergeCell ref="A157:C157"/>
    <mergeCell ref="A151:C151"/>
    <mergeCell ref="A152:C152"/>
    <mergeCell ref="F169:I169"/>
    <mergeCell ref="A161:C161"/>
    <mergeCell ref="D161:E161"/>
    <mergeCell ref="F161:G161"/>
    <mergeCell ref="H161:I161"/>
    <mergeCell ref="A163:J163"/>
    <mergeCell ref="B165:E165"/>
    <mergeCell ref="F167:I167"/>
    <mergeCell ref="J167:K167"/>
    <mergeCell ref="B166:E166"/>
    <mergeCell ref="B167:E167"/>
    <mergeCell ref="B168:E168"/>
    <mergeCell ref="F168:I168"/>
    <mergeCell ref="B169:E169"/>
    <mergeCell ref="A171:J171"/>
    <mergeCell ref="J168:K168"/>
    <mergeCell ref="F166:I166"/>
    <mergeCell ref="J166:K166"/>
    <mergeCell ref="A178:D178"/>
    <mergeCell ref="H178:I178"/>
    <mergeCell ref="H173:I173"/>
    <mergeCell ref="H174:I174"/>
    <mergeCell ref="A175:D175"/>
    <mergeCell ref="H175:I175"/>
    <mergeCell ref="H176:I176"/>
    <mergeCell ref="A177:D177"/>
    <mergeCell ref="H177:I177"/>
    <mergeCell ref="A180:D180"/>
    <mergeCell ref="H180:I180"/>
    <mergeCell ref="A182:D182"/>
    <mergeCell ref="H182:I182"/>
    <mergeCell ref="H183:I183"/>
    <mergeCell ref="A184:D184"/>
    <mergeCell ref="H184:I184"/>
    <mergeCell ref="A179:D179"/>
    <mergeCell ref="H179:I179"/>
    <mergeCell ref="A181:D181"/>
    <mergeCell ref="B183:C183"/>
    <mergeCell ref="H181:I181"/>
    <mergeCell ref="A196:J196"/>
    <mergeCell ref="A190:D190"/>
    <mergeCell ref="H190:I190"/>
    <mergeCell ref="A185:D185"/>
    <mergeCell ref="H185:I185"/>
    <mergeCell ref="A186:D186"/>
    <mergeCell ref="H186:I186"/>
    <mergeCell ref="A187:D187"/>
    <mergeCell ref="H187:I187"/>
    <mergeCell ref="A145:C145"/>
    <mergeCell ref="A202:D202"/>
    <mergeCell ref="H202:I202"/>
    <mergeCell ref="H201:I201"/>
    <mergeCell ref="A201:D201"/>
    <mergeCell ref="H191:I191"/>
    <mergeCell ref="F128:G128"/>
    <mergeCell ref="H128:I128"/>
    <mergeCell ref="A143:J143"/>
    <mergeCell ref="B141:E141"/>
    <mergeCell ref="D145:E145"/>
    <mergeCell ref="B138:E138"/>
    <mergeCell ref="B139:E139"/>
    <mergeCell ref="F138:I138"/>
    <mergeCell ref="B140:E140"/>
    <mergeCell ref="A130:C130"/>
    <mergeCell ref="A189:D189"/>
    <mergeCell ref="H189:I189"/>
    <mergeCell ref="H192:I192"/>
    <mergeCell ref="H193:I193"/>
    <mergeCell ref="A194:G194"/>
    <mergeCell ref="H194:I194"/>
    <mergeCell ref="A203:D203"/>
    <mergeCell ref="H203:I203"/>
    <mergeCell ref="H198:I198"/>
    <mergeCell ref="H199:I199"/>
    <mergeCell ref="A200:D200"/>
    <mergeCell ref="H200:I200"/>
    <mergeCell ref="A234:C234"/>
    <mergeCell ref="A212:D212"/>
    <mergeCell ref="H212:I212"/>
    <mergeCell ref="A213:D213"/>
    <mergeCell ref="H213:I213"/>
    <mergeCell ref="H214:I214"/>
    <mergeCell ref="A215:G215"/>
    <mergeCell ref="H215:I215"/>
    <mergeCell ref="F219:G219"/>
    <mergeCell ref="H219:I219"/>
    <mergeCell ref="A245:E245"/>
    <mergeCell ref="F245:G245"/>
    <mergeCell ref="H245:I245"/>
    <mergeCell ref="F240:G240"/>
    <mergeCell ref="H240:I240"/>
    <mergeCell ref="F234:G234"/>
    <mergeCell ref="H234:I234"/>
    <mergeCell ref="H243:I243"/>
    <mergeCell ref="F241:G241"/>
    <mergeCell ref="H241:I241"/>
    <mergeCell ref="F236:G236"/>
    <mergeCell ref="H236:I236"/>
    <mergeCell ref="H222:I222"/>
    <mergeCell ref="F225:G225"/>
    <mergeCell ref="H225:I225"/>
    <mergeCell ref="F226:G226"/>
    <mergeCell ref="H233:I233"/>
    <mergeCell ref="H223:I223"/>
    <mergeCell ref="F231:G231"/>
    <mergeCell ref="H231:I231"/>
    <mergeCell ref="H238:I238"/>
    <mergeCell ref="F244:G244"/>
    <mergeCell ref="H244:I244"/>
    <mergeCell ref="F239:G239"/>
    <mergeCell ref="H239:I239"/>
    <mergeCell ref="F243:G243"/>
    <mergeCell ref="F238:G238"/>
    <mergeCell ref="F242:G242"/>
    <mergeCell ref="H242:I242"/>
    <mergeCell ref="F237:G237"/>
    <mergeCell ref="H237:I237"/>
    <mergeCell ref="D128:E128"/>
    <mergeCell ref="A128:C128"/>
    <mergeCell ref="F127:G127"/>
    <mergeCell ref="A155:C155"/>
    <mergeCell ref="A148:C148"/>
    <mergeCell ref="A149:C149"/>
    <mergeCell ref="A153:C153"/>
    <mergeCell ref="F233:G233"/>
    <mergeCell ref="A146:C146"/>
    <mergeCell ref="D146:E146"/>
    <mergeCell ref="H221:I221"/>
    <mergeCell ref="H226:I226"/>
    <mergeCell ref="F223:G223"/>
    <mergeCell ref="F222:G222"/>
    <mergeCell ref="A221:C221"/>
    <mergeCell ref="F220:G220"/>
    <mergeCell ref="H220:I220"/>
    <mergeCell ref="H188:I188"/>
    <mergeCell ref="A228:E228"/>
    <mergeCell ref="F228:G228"/>
    <mergeCell ref="H228:I228"/>
    <mergeCell ref="A230:L230"/>
    <mergeCell ref="A207:D207"/>
    <mergeCell ref="H207:I207"/>
    <mergeCell ref="F227:G227"/>
    <mergeCell ref="H227:I227"/>
    <mergeCell ref="A217:J217"/>
    <mergeCell ref="F221:G221"/>
  </mergeCells>
  <pageMargins left="0.70866141732283472" right="0.70866141732283472" top="0.74803149606299213" bottom="0.74803149606299213" header="0.31496062992125984" footer="0.31496062992125984"/>
  <pageSetup paperSize="9" scale="64" fitToHeight="5" orientation="landscape" r:id="rId1"/>
  <headerFooter>
    <oddHeader>&amp;L&amp;6&amp;F</oddHeader>
  </headerFooter>
  <rowBreaks count="5" manualBreakCount="5">
    <brk id="34" max="11" man="1"/>
    <brk id="64" max="11" man="1"/>
    <brk id="106" max="11" man="1"/>
    <brk id="142" max="11" man="1"/>
    <brk id="194"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view="pageBreakPreview" zoomScale="120" zoomScaleNormal="100" zoomScaleSheetLayoutView="120" workbookViewId="0">
      <selection activeCell="H3" sqref="H3"/>
    </sheetView>
  </sheetViews>
  <sheetFormatPr defaultRowHeight="13.2" x14ac:dyDescent="0.25"/>
  <cols>
    <col min="1" max="3" width="0.5546875" customWidth="1"/>
    <col min="4" max="4" width="13.44140625" customWidth="1"/>
    <col min="5" max="5" width="18.109375" customWidth="1"/>
    <col min="6" max="6" width="11.6640625" customWidth="1"/>
    <col min="7" max="8" width="13.44140625" customWidth="1"/>
    <col min="9" max="9" width="15" customWidth="1"/>
    <col min="10" max="10" width="13.44140625" customWidth="1"/>
  </cols>
  <sheetData>
    <row r="1" spans="1:10" ht="9.75" customHeight="1" x14ac:dyDescent="0.25">
      <c r="A1" s="58"/>
      <c r="B1" s="58"/>
      <c r="C1" s="58"/>
      <c r="D1" s="58"/>
      <c r="E1" s="58"/>
      <c r="F1" s="58"/>
      <c r="G1" s="58"/>
      <c r="H1" s="391" t="s">
        <v>566</v>
      </c>
      <c r="I1" s="391"/>
      <c r="J1" s="391"/>
    </row>
    <row r="2" spans="1:10" ht="7.5" customHeight="1" x14ac:dyDescent="0.25">
      <c r="A2" s="58"/>
      <c r="B2" s="58"/>
      <c r="C2" s="58"/>
      <c r="D2" s="58"/>
      <c r="E2" s="58"/>
      <c r="F2" s="58"/>
      <c r="G2" s="58"/>
      <c r="H2" s="391" t="s">
        <v>562</v>
      </c>
      <c r="I2" s="391"/>
      <c r="J2" s="391"/>
    </row>
    <row r="3" spans="1:10" ht="7.5" customHeight="1" x14ac:dyDescent="0.25">
      <c r="A3" s="58"/>
      <c r="B3" s="58"/>
      <c r="C3" s="58"/>
      <c r="D3" s="58"/>
      <c r="E3" s="58"/>
      <c r="F3" s="58"/>
      <c r="G3" s="58"/>
      <c r="H3" s="391" t="s">
        <v>563</v>
      </c>
      <c r="I3" s="391"/>
      <c r="J3" s="391"/>
    </row>
    <row r="4" spans="1:10" ht="7.5" customHeight="1" x14ac:dyDescent="0.25">
      <c r="A4" s="58"/>
      <c r="B4" s="58"/>
      <c r="C4" s="58"/>
      <c r="D4" s="58"/>
      <c r="E4" s="58"/>
      <c r="F4" s="58"/>
      <c r="G4" s="58"/>
      <c r="H4" s="391" t="s">
        <v>564</v>
      </c>
      <c r="I4" s="391"/>
      <c r="J4" s="391"/>
    </row>
    <row r="5" spans="1:10" ht="8.25" customHeight="1" x14ac:dyDescent="0.25">
      <c r="A5" s="58"/>
      <c r="B5" s="58"/>
      <c r="C5" s="58"/>
      <c r="D5" s="58"/>
      <c r="E5" s="58"/>
      <c r="F5" s="58"/>
      <c r="G5" s="58"/>
      <c r="H5" s="391" t="s">
        <v>565</v>
      </c>
      <c r="I5" s="391"/>
      <c r="J5" s="391"/>
    </row>
    <row r="6" spans="1:10" ht="7.5" customHeight="1" x14ac:dyDescent="0.25">
      <c r="A6" s="61"/>
      <c r="B6" s="61"/>
      <c r="C6" s="61"/>
      <c r="D6" s="61"/>
      <c r="E6" s="61"/>
      <c r="F6" s="61"/>
      <c r="G6" s="61"/>
      <c r="H6" s="277"/>
      <c r="I6" s="277"/>
      <c r="J6" s="277"/>
    </row>
    <row r="7" spans="1:10" ht="7.5" customHeight="1" x14ac:dyDescent="0.25">
      <c r="A7" s="61"/>
      <c r="B7" s="61"/>
      <c r="C7" s="61"/>
      <c r="D7" s="61"/>
      <c r="E7" s="61"/>
      <c r="F7" s="61"/>
      <c r="G7" s="61"/>
      <c r="H7" s="277"/>
      <c r="I7" s="277"/>
      <c r="J7" s="277"/>
    </row>
    <row r="8" spans="1:10" ht="7.5" customHeight="1" x14ac:dyDescent="0.25">
      <c r="A8" s="61"/>
      <c r="B8" s="61"/>
      <c r="C8" s="61"/>
      <c r="D8" s="61"/>
      <c r="E8" s="61"/>
      <c r="F8" s="61"/>
      <c r="G8" s="61"/>
      <c r="H8" s="277"/>
      <c r="I8" s="277"/>
      <c r="J8" s="277"/>
    </row>
    <row r="9" spans="1:10" x14ac:dyDescent="0.25">
      <c r="A9" s="61"/>
      <c r="B9" s="61"/>
      <c r="C9" s="61"/>
      <c r="D9" s="61"/>
      <c r="E9" s="61"/>
      <c r="F9" s="61"/>
      <c r="G9" s="61"/>
      <c r="H9" s="59"/>
      <c r="I9" s="61"/>
      <c r="J9" s="61"/>
    </row>
    <row r="10" spans="1:10" ht="30.75" customHeight="1" x14ac:dyDescent="0.3">
      <c r="A10" s="641" t="s">
        <v>285</v>
      </c>
      <c r="B10" s="641"/>
      <c r="C10" s="641"/>
      <c r="D10" s="641"/>
      <c r="E10" s="641"/>
      <c r="F10" s="641"/>
      <c r="G10" s="641"/>
      <c r="H10" s="641"/>
      <c r="I10" s="641"/>
      <c r="J10" s="641"/>
    </row>
    <row r="12" spans="1:10" ht="12.75" customHeight="1" x14ac:dyDescent="0.25">
      <c r="A12" s="642" t="s">
        <v>426</v>
      </c>
      <c r="B12" s="642"/>
      <c r="C12" s="642"/>
      <c r="D12" s="642"/>
      <c r="E12" s="642"/>
      <c r="F12" s="642"/>
      <c r="G12" s="642"/>
      <c r="H12" s="642"/>
      <c r="I12" s="642"/>
      <c r="J12" s="642"/>
    </row>
    <row r="13" spans="1:10" ht="15" customHeight="1" x14ac:dyDescent="0.25">
      <c r="A13" s="629" t="s">
        <v>450</v>
      </c>
      <c r="B13" s="629"/>
      <c r="C13" s="629"/>
      <c r="D13" s="629"/>
      <c r="E13" s="629"/>
      <c r="F13" s="629"/>
      <c r="G13" s="629"/>
      <c r="H13" s="629"/>
      <c r="I13" s="629"/>
      <c r="J13" s="629"/>
    </row>
    <row r="14" spans="1:10" ht="13.8" thickBot="1" x14ac:dyDescent="0.3">
      <c r="A14" s="629" t="s">
        <v>454</v>
      </c>
      <c r="B14" s="629"/>
      <c r="C14" s="629"/>
      <c r="D14" s="629"/>
      <c r="E14" s="629"/>
      <c r="F14" s="629"/>
      <c r="G14" s="629"/>
      <c r="H14" s="629"/>
      <c r="I14" s="629"/>
      <c r="J14" s="629"/>
    </row>
    <row r="15" spans="1:10" ht="45.6" x14ac:dyDescent="0.25">
      <c r="D15" s="295" t="s">
        <v>413</v>
      </c>
      <c r="E15" s="636" t="s">
        <v>0</v>
      </c>
      <c r="F15" s="296" t="s">
        <v>415</v>
      </c>
      <c r="G15" s="296" t="s">
        <v>417</v>
      </c>
      <c r="H15" s="636" t="s">
        <v>419</v>
      </c>
      <c r="I15" s="296" t="s">
        <v>420</v>
      </c>
      <c r="J15" s="636" t="s">
        <v>447</v>
      </c>
    </row>
    <row r="16" spans="1:10" ht="22.8" x14ac:dyDescent="0.25">
      <c r="D16" s="297" t="s">
        <v>414</v>
      </c>
      <c r="E16" s="637"/>
      <c r="F16" s="298" t="s">
        <v>416</v>
      </c>
      <c r="G16" s="298" t="s">
        <v>418</v>
      </c>
      <c r="H16" s="637"/>
      <c r="I16" s="298" t="s">
        <v>421</v>
      </c>
      <c r="J16" s="637"/>
    </row>
    <row r="17" spans="1:10" ht="23.4" thickBot="1" x14ac:dyDescent="0.3">
      <c r="D17" s="299"/>
      <c r="E17" s="638"/>
      <c r="F17" s="300"/>
      <c r="G17" s="300"/>
      <c r="H17" s="638"/>
      <c r="I17" s="301" t="s">
        <v>422</v>
      </c>
      <c r="J17" s="638"/>
    </row>
    <row r="18" spans="1:10" ht="14.4" thickBot="1" x14ac:dyDescent="0.3">
      <c r="D18" s="266">
        <v>1</v>
      </c>
      <c r="E18" s="267">
        <v>2</v>
      </c>
      <c r="F18" s="267">
        <v>3</v>
      </c>
      <c r="G18" s="267">
        <v>4</v>
      </c>
      <c r="H18" s="267">
        <v>5</v>
      </c>
      <c r="I18" s="267">
        <v>6</v>
      </c>
      <c r="J18" s="267">
        <v>7</v>
      </c>
    </row>
    <row r="19" spans="1:10" ht="15" thickBot="1" x14ac:dyDescent="0.3">
      <c r="D19" s="268"/>
      <c r="E19" s="269"/>
      <c r="F19" s="269"/>
      <c r="G19" s="269"/>
      <c r="H19" s="270"/>
      <c r="I19" s="309"/>
      <c r="J19" s="270"/>
    </row>
    <row r="20" spans="1:10" ht="15" thickBot="1" x14ac:dyDescent="0.3">
      <c r="D20" s="268"/>
      <c r="E20" s="269"/>
      <c r="F20" s="269"/>
      <c r="G20" s="269"/>
      <c r="H20" s="270"/>
      <c r="I20" s="269"/>
      <c r="J20" s="270"/>
    </row>
    <row r="21" spans="1:10" ht="14.4" thickBot="1" x14ac:dyDescent="0.3">
      <c r="D21" s="271" t="s">
        <v>423</v>
      </c>
      <c r="E21" s="272" t="s">
        <v>424</v>
      </c>
      <c r="F21" s="267" t="s">
        <v>425</v>
      </c>
      <c r="G21" s="267" t="s">
        <v>425</v>
      </c>
      <c r="H21" s="267" t="s">
        <v>425</v>
      </c>
      <c r="I21" s="310">
        <f>'Раздел 1'!F39</f>
        <v>0</v>
      </c>
      <c r="J21" s="267" t="s">
        <v>425</v>
      </c>
    </row>
    <row r="23" spans="1:10" ht="33" customHeight="1" x14ac:dyDescent="0.3">
      <c r="A23" s="641" t="s">
        <v>427</v>
      </c>
      <c r="B23" s="641"/>
      <c r="C23" s="641"/>
      <c r="D23" s="641"/>
      <c r="E23" s="641"/>
      <c r="F23" s="641"/>
      <c r="G23" s="641"/>
      <c r="H23" s="641"/>
      <c r="I23" s="641"/>
      <c r="J23" s="641"/>
    </row>
    <row r="24" spans="1:10" ht="15" customHeight="1" x14ac:dyDescent="0.25">
      <c r="A24" s="629" t="s">
        <v>451</v>
      </c>
      <c r="B24" s="629"/>
      <c r="C24" s="629"/>
      <c r="D24" s="629"/>
      <c r="E24" s="629"/>
      <c r="F24" s="629"/>
      <c r="G24" s="629"/>
      <c r="H24" s="629"/>
      <c r="I24" s="629"/>
      <c r="J24" s="629"/>
    </row>
    <row r="25" spans="1:10" x14ac:dyDescent="0.25">
      <c r="A25" s="629" t="s">
        <v>454</v>
      </c>
      <c r="B25" s="629"/>
      <c r="C25" s="629"/>
      <c r="D25" s="629"/>
      <c r="E25" s="629"/>
      <c r="F25" s="629"/>
      <c r="G25" s="629"/>
      <c r="H25" s="629"/>
      <c r="I25" s="629"/>
      <c r="J25" s="629"/>
    </row>
    <row r="26" spans="1:10" ht="13.8" thickBot="1" x14ac:dyDescent="0.3"/>
    <row r="27" spans="1:10" ht="57" x14ac:dyDescent="0.25">
      <c r="D27" s="295" t="s">
        <v>413</v>
      </c>
      <c r="E27" s="636" t="s">
        <v>0</v>
      </c>
      <c r="F27" s="296" t="s">
        <v>428</v>
      </c>
      <c r="G27" s="636" t="s">
        <v>429</v>
      </c>
      <c r="H27" s="296" t="s">
        <v>417</v>
      </c>
      <c r="I27" s="296" t="s">
        <v>430</v>
      </c>
      <c r="J27" s="636" t="s">
        <v>447</v>
      </c>
    </row>
    <row r="28" spans="1:10" ht="23.4" thickBot="1" x14ac:dyDescent="0.3">
      <c r="D28" s="302" t="s">
        <v>414</v>
      </c>
      <c r="E28" s="638"/>
      <c r="F28" s="301" t="s">
        <v>416</v>
      </c>
      <c r="G28" s="638"/>
      <c r="H28" s="301" t="s">
        <v>418</v>
      </c>
      <c r="I28" s="301" t="s">
        <v>431</v>
      </c>
      <c r="J28" s="638"/>
    </row>
    <row r="29" spans="1:10" ht="13.8" thickBot="1" x14ac:dyDescent="0.3">
      <c r="D29" s="275">
        <v>1</v>
      </c>
      <c r="E29" s="276">
        <v>2</v>
      </c>
      <c r="F29" s="276">
        <v>3</v>
      </c>
      <c r="G29" s="276">
        <v>4</v>
      </c>
      <c r="H29" s="276">
        <v>5</v>
      </c>
      <c r="I29" s="276">
        <v>6</v>
      </c>
      <c r="J29" s="276">
        <v>7</v>
      </c>
    </row>
    <row r="30" spans="1:10" ht="15" thickBot="1" x14ac:dyDescent="0.3">
      <c r="D30" s="273"/>
      <c r="E30" s="274"/>
      <c r="F30" s="274"/>
      <c r="G30" s="270"/>
      <c r="H30" s="274"/>
      <c r="I30" s="274"/>
      <c r="J30" s="270"/>
    </row>
    <row r="31" spans="1:10" ht="15" thickBot="1" x14ac:dyDescent="0.3">
      <c r="D31" s="273"/>
      <c r="E31" s="274"/>
      <c r="F31" s="274"/>
      <c r="G31" s="270"/>
      <c r="H31" s="274"/>
      <c r="I31" s="274"/>
      <c r="J31" s="270"/>
    </row>
    <row r="32" spans="1:10" ht="14.4" thickBot="1" x14ac:dyDescent="0.3">
      <c r="D32" s="271" t="s">
        <v>423</v>
      </c>
      <c r="E32" s="272" t="s">
        <v>424</v>
      </c>
      <c r="F32" s="267" t="s">
        <v>425</v>
      </c>
      <c r="G32" s="267" t="s">
        <v>425</v>
      </c>
      <c r="H32" s="267" t="s">
        <v>425</v>
      </c>
      <c r="I32" s="310">
        <f>'Раздел 1'!F51</f>
        <v>0</v>
      </c>
      <c r="J32" s="267" t="s">
        <v>425</v>
      </c>
    </row>
    <row r="33" spans="1:10" ht="5.25" customHeight="1" x14ac:dyDescent="0.25"/>
    <row r="34" spans="1:10" ht="5.25" customHeight="1" x14ac:dyDescent="0.25"/>
    <row r="35" spans="1:10" ht="12.75" customHeight="1" x14ac:dyDescent="0.3">
      <c r="A35" s="641" t="s">
        <v>432</v>
      </c>
      <c r="B35" s="641"/>
      <c r="C35" s="641"/>
      <c r="D35" s="641"/>
      <c r="E35" s="641"/>
      <c r="F35" s="641"/>
      <c r="G35" s="641"/>
      <c r="H35" s="641"/>
      <c r="I35" s="641"/>
      <c r="J35" s="641"/>
    </row>
    <row r="36" spans="1:10" x14ac:dyDescent="0.25">
      <c r="A36" s="629" t="s">
        <v>452</v>
      </c>
      <c r="B36" s="629"/>
      <c r="C36" s="629"/>
      <c r="D36" s="629"/>
      <c r="E36" s="629"/>
      <c r="F36" s="629"/>
      <c r="G36" s="629"/>
      <c r="H36" s="629"/>
      <c r="I36" s="629"/>
      <c r="J36" s="629"/>
    </row>
    <row r="37" spans="1:10" ht="13.8" thickBot="1" x14ac:dyDescent="0.3">
      <c r="A37" s="629" t="s">
        <v>448</v>
      </c>
      <c r="B37" s="629"/>
      <c r="C37" s="629"/>
      <c r="D37" s="629"/>
      <c r="E37" s="629"/>
      <c r="F37" s="629"/>
      <c r="G37" s="629"/>
      <c r="H37" s="629"/>
      <c r="I37" s="629"/>
      <c r="J37" s="629"/>
    </row>
    <row r="38" spans="1:10" ht="28.5" customHeight="1" x14ac:dyDescent="0.25">
      <c r="D38" s="295" t="s">
        <v>413</v>
      </c>
      <c r="E38" s="630" t="s">
        <v>0</v>
      </c>
      <c r="F38" s="631"/>
      <c r="G38" s="296" t="s">
        <v>444</v>
      </c>
      <c r="H38" s="636" t="s">
        <v>443</v>
      </c>
      <c r="I38" s="296" t="s">
        <v>436</v>
      </c>
      <c r="J38" s="636" t="s">
        <v>447</v>
      </c>
    </row>
    <row r="39" spans="1:10" ht="34.200000000000003" x14ac:dyDescent="0.25">
      <c r="D39" s="297" t="s">
        <v>414</v>
      </c>
      <c r="E39" s="632"/>
      <c r="F39" s="633"/>
      <c r="G39" s="298" t="s">
        <v>445</v>
      </c>
      <c r="H39" s="637"/>
      <c r="I39" s="298" t="s">
        <v>446</v>
      </c>
      <c r="J39" s="637"/>
    </row>
    <row r="40" spans="1:10" ht="13.8" thickBot="1" x14ac:dyDescent="0.3">
      <c r="D40" s="299"/>
      <c r="E40" s="634"/>
      <c r="F40" s="635"/>
      <c r="G40" s="301" t="s">
        <v>416</v>
      </c>
      <c r="H40" s="638"/>
      <c r="I40" s="301" t="s">
        <v>438</v>
      </c>
      <c r="J40" s="638"/>
    </row>
    <row r="41" spans="1:10" ht="13.8" thickBot="1" x14ac:dyDescent="0.3">
      <c r="D41" s="275">
        <v>1</v>
      </c>
      <c r="E41" s="639">
        <v>2</v>
      </c>
      <c r="F41" s="640"/>
      <c r="G41" s="276">
        <v>3</v>
      </c>
      <c r="H41" s="276">
        <v>4</v>
      </c>
      <c r="I41" s="276">
        <v>5</v>
      </c>
      <c r="J41" s="276">
        <v>6</v>
      </c>
    </row>
    <row r="42" spans="1:10" ht="15" thickBot="1" x14ac:dyDescent="0.3">
      <c r="D42" s="266"/>
      <c r="E42" s="627"/>
      <c r="F42" s="628"/>
      <c r="G42" s="267"/>
      <c r="H42" s="267"/>
      <c r="I42" s="267"/>
      <c r="J42" s="270"/>
    </row>
    <row r="43" spans="1:10" ht="14.4" thickBot="1" x14ac:dyDescent="0.3">
      <c r="D43" s="266"/>
      <c r="E43" s="627"/>
      <c r="F43" s="628"/>
      <c r="G43" s="267"/>
      <c r="H43" s="267"/>
      <c r="I43" s="267"/>
      <c r="J43" s="267"/>
    </row>
    <row r="44" spans="1:10" ht="14.4" thickBot="1" x14ac:dyDescent="0.3">
      <c r="D44" s="271" t="s">
        <v>423</v>
      </c>
      <c r="E44" s="627" t="s">
        <v>424</v>
      </c>
      <c r="F44" s="628"/>
      <c r="G44" s="267" t="s">
        <v>425</v>
      </c>
      <c r="H44" s="267" t="s">
        <v>425</v>
      </c>
      <c r="I44" s="310">
        <f>'Раздел 1'!F48</f>
        <v>0</v>
      </c>
      <c r="J44" s="267" t="s">
        <v>425</v>
      </c>
    </row>
    <row r="45" spans="1:10" ht="6" customHeight="1" x14ac:dyDescent="0.25">
      <c r="D45" s="311"/>
      <c r="E45" s="312"/>
      <c r="F45" s="312"/>
      <c r="G45" s="312"/>
      <c r="H45" s="312"/>
      <c r="I45" s="312"/>
      <c r="J45" s="312"/>
    </row>
    <row r="46" spans="1:10" x14ac:dyDescent="0.25">
      <c r="A46" s="629" t="s">
        <v>452</v>
      </c>
      <c r="B46" s="629"/>
      <c r="C46" s="629"/>
      <c r="D46" s="629"/>
      <c r="E46" s="629"/>
      <c r="F46" s="629"/>
      <c r="G46" s="629"/>
      <c r="H46" s="629"/>
      <c r="I46" s="629"/>
      <c r="J46" s="629"/>
    </row>
    <row r="47" spans="1:10" ht="13.8" thickBot="1" x14ac:dyDescent="0.3">
      <c r="A47" s="629" t="s">
        <v>463</v>
      </c>
      <c r="B47" s="629"/>
      <c r="C47" s="629"/>
      <c r="D47" s="629"/>
      <c r="E47" s="629"/>
      <c r="F47" s="629"/>
      <c r="G47" s="629"/>
      <c r="H47" s="629"/>
      <c r="I47" s="629"/>
      <c r="J47" s="629"/>
    </row>
    <row r="48" spans="1:10" ht="28.5" customHeight="1" x14ac:dyDescent="0.25">
      <c r="D48" s="295" t="s">
        <v>413</v>
      </c>
      <c r="E48" s="630" t="s">
        <v>0</v>
      </c>
      <c r="F48" s="631"/>
      <c r="G48" s="296" t="s">
        <v>449</v>
      </c>
      <c r="H48" s="636" t="s">
        <v>435</v>
      </c>
      <c r="I48" s="296" t="s">
        <v>436</v>
      </c>
      <c r="J48" s="636" t="s">
        <v>447</v>
      </c>
    </row>
    <row r="49" spans="1:10" ht="34.200000000000003" x14ac:dyDescent="0.25">
      <c r="D49" s="297" t="s">
        <v>414</v>
      </c>
      <c r="E49" s="632"/>
      <c r="F49" s="633"/>
      <c r="G49" s="298" t="s">
        <v>434</v>
      </c>
      <c r="H49" s="637"/>
      <c r="I49" s="298" t="s">
        <v>437</v>
      </c>
      <c r="J49" s="637"/>
    </row>
    <row r="50" spans="1:10" ht="13.8" thickBot="1" x14ac:dyDescent="0.3">
      <c r="D50" s="299"/>
      <c r="E50" s="634"/>
      <c r="F50" s="635"/>
      <c r="G50" s="301" t="s">
        <v>416</v>
      </c>
      <c r="H50" s="638"/>
      <c r="I50" s="301" t="s">
        <v>438</v>
      </c>
      <c r="J50" s="638"/>
    </row>
    <row r="51" spans="1:10" ht="13.8" thickBot="1" x14ac:dyDescent="0.3">
      <c r="D51" s="275">
        <v>1</v>
      </c>
      <c r="E51" s="639">
        <v>2</v>
      </c>
      <c r="F51" s="640"/>
      <c r="G51" s="276">
        <v>3</v>
      </c>
      <c r="H51" s="276">
        <v>4</v>
      </c>
      <c r="I51" s="276">
        <v>5</v>
      </c>
      <c r="J51" s="276">
        <v>6</v>
      </c>
    </row>
    <row r="52" spans="1:10" ht="15" thickBot="1" x14ac:dyDescent="0.3">
      <c r="D52" s="266"/>
      <c r="E52" s="627"/>
      <c r="F52" s="628"/>
      <c r="G52" s="267"/>
      <c r="H52" s="267"/>
      <c r="I52" s="267"/>
      <c r="J52" s="270"/>
    </row>
    <row r="53" spans="1:10" ht="14.4" thickBot="1" x14ac:dyDescent="0.3">
      <c r="D53" s="271" t="s">
        <v>423</v>
      </c>
      <c r="E53" s="627" t="s">
        <v>424</v>
      </c>
      <c r="F53" s="628"/>
      <c r="G53" s="267" t="s">
        <v>425</v>
      </c>
      <c r="H53" s="267" t="s">
        <v>425</v>
      </c>
      <c r="I53" s="310">
        <f>'Раздел 1'!F49</f>
        <v>0</v>
      </c>
      <c r="J53" s="267" t="s">
        <v>425</v>
      </c>
    </row>
    <row r="54" spans="1:10" ht="6" customHeight="1" x14ac:dyDescent="0.25">
      <c r="D54" s="311"/>
      <c r="E54" s="312"/>
      <c r="F54" s="312"/>
      <c r="G54" s="312"/>
      <c r="H54" s="312"/>
      <c r="I54" s="312"/>
      <c r="J54" s="312"/>
    </row>
    <row r="55" spans="1:10" x14ac:dyDescent="0.25">
      <c r="A55" s="629" t="s">
        <v>452</v>
      </c>
      <c r="B55" s="629"/>
      <c r="C55" s="629"/>
      <c r="D55" s="629"/>
      <c r="E55" s="629"/>
      <c r="F55" s="629"/>
      <c r="G55" s="629"/>
      <c r="H55" s="629"/>
      <c r="I55" s="629"/>
      <c r="J55" s="629"/>
    </row>
    <row r="56" spans="1:10" ht="13.8" thickBot="1" x14ac:dyDescent="0.3">
      <c r="A56" s="629" t="s">
        <v>464</v>
      </c>
      <c r="B56" s="629"/>
      <c r="C56" s="629"/>
      <c r="D56" s="629"/>
      <c r="E56" s="629"/>
      <c r="F56" s="629"/>
      <c r="G56" s="629"/>
      <c r="H56" s="629"/>
      <c r="I56" s="629"/>
      <c r="J56" s="629"/>
    </row>
    <row r="57" spans="1:10" ht="28.5" customHeight="1" x14ac:dyDescent="0.25">
      <c r="D57" s="295" t="s">
        <v>413</v>
      </c>
      <c r="E57" s="630" t="s">
        <v>0</v>
      </c>
      <c r="F57" s="631"/>
      <c r="G57" s="296" t="s">
        <v>433</v>
      </c>
      <c r="H57" s="636" t="s">
        <v>435</v>
      </c>
      <c r="I57" s="296" t="s">
        <v>436</v>
      </c>
      <c r="J57" s="636" t="s">
        <v>447</v>
      </c>
    </row>
    <row r="58" spans="1:10" ht="34.200000000000003" x14ac:dyDescent="0.25">
      <c r="D58" s="297" t="s">
        <v>414</v>
      </c>
      <c r="E58" s="632"/>
      <c r="F58" s="633"/>
      <c r="G58" s="298" t="s">
        <v>434</v>
      </c>
      <c r="H58" s="637"/>
      <c r="I58" s="298" t="s">
        <v>437</v>
      </c>
      <c r="J58" s="637"/>
    </row>
    <row r="59" spans="1:10" ht="13.8" thickBot="1" x14ac:dyDescent="0.3">
      <c r="D59" s="299"/>
      <c r="E59" s="634"/>
      <c r="F59" s="635"/>
      <c r="G59" s="301" t="s">
        <v>416</v>
      </c>
      <c r="H59" s="638"/>
      <c r="I59" s="301" t="s">
        <v>438</v>
      </c>
      <c r="J59" s="638"/>
    </row>
    <row r="60" spans="1:10" ht="13.8" thickBot="1" x14ac:dyDescent="0.3">
      <c r="D60" s="275">
        <v>1</v>
      </c>
      <c r="E60" s="639">
        <v>2</v>
      </c>
      <c r="F60" s="640"/>
      <c r="G60" s="276">
        <v>3</v>
      </c>
      <c r="H60" s="276">
        <v>4</v>
      </c>
      <c r="I60" s="276">
        <v>5</v>
      </c>
      <c r="J60" s="276">
        <v>6</v>
      </c>
    </row>
    <row r="61" spans="1:10" ht="15" thickBot="1" x14ac:dyDescent="0.3">
      <c r="D61" s="266"/>
      <c r="E61" s="627"/>
      <c r="F61" s="628"/>
      <c r="G61" s="267"/>
      <c r="H61" s="267"/>
      <c r="I61" s="267"/>
      <c r="J61" s="270"/>
    </row>
    <row r="62" spans="1:10" ht="14.4" thickBot="1" x14ac:dyDescent="0.3">
      <c r="D62" s="266"/>
      <c r="E62" s="627"/>
      <c r="F62" s="628"/>
      <c r="G62" s="267"/>
      <c r="H62" s="267"/>
      <c r="I62" s="267"/>
      <c r="J62" s="267"/>
    </row>
    <row r="63" spans="1:10" ht="14.4" thickBot="1" x14ac:dyDescent="0.3">
      <c r="D63" s="266"/>
      <c r="E63" s="627"/>
      <c r="F63" s="628"/>
      <c r="G63" s="267"/>
      <c r="H63" s="267"/>
      <c r="I63" s="267"/>
      <c r="J63" s="267"/>
    </row>
    <row r="64" spans="1:10" ht="13.5" customHeight="1" thickBot="1" x14ac:dyDescent="0.3">
      <c r="D64" s="268"/>
      <c r="E64" s="627"/>
      <c r="F64" s="628"/>
      <c r="G64" s="269"/>
      <c r="H64" s="269"/>
      <c r="I64" s="269"/>
      <c r="J64" s="269"/>
    </row>
    <row r="65" spans="1:10" ht="13.5" customHeight="1" thickBot="1" x14ac:dyDescent="0.3">
      <c r="D65" s="268"/>
      <c r="E65" s="627"/>
      <c r="F65" s="628"/>
      <c r="G65" s="269"/>
      <c r="H65" s="269"/>
      <c r="I65" s="269"/>
      <c r="J65" s="269"/>
    </row>
    <row r="66" spans="1:10" ht="13.5" customHeight="1" thickBot="1" x14ac:dyDescent="0.3">
      <c r="D66" s="268"/>
      <c r="E66" s="627"/>
      <c r="F66" s="628"/>
      <c r="G66" s="269"/>
      <c r="H66" s="269"/>
      <c r="I66" s="269"/>
      <c r="J66" s="269"/>
    </row>
    <row r="67" spans="1:10" ht="14.4" thickBot="1" x14ac:dyDescent="0.3">
      <c r="D67" s="271" t="s">
        <v>423</v>
      </c>
      <c r="E67" s="627" t="s">
        <v>424</v>
      </c>
      <c r="F67" s="628"/>
      <c r="G67" s="267" t="s">
        <v>425</v>
      </c>
      <c r="H67" s="267" t="s">
        <v>425</v>
      </c>
      <c r="I67" s="310">
        <f>'Раздел 1'!F50</f>
        <v>951000</v>
      </c>
      <c r="J67" s="267" t="s">
        <v>425</v>
      </c>
    </row>
    <row r="68" spans="1:10" ht="3.75" customHeight="1" x14ac:dyDescent="0.25"/>
    <row r="70" spans="1:10" ht="12.75" customHeight="1" x14ac:dyDescent="0.3">
      <c r="A70" s="641" t="s">
        <v>439</v>
      </c>
      <c r="B70" s="641"/>
      <c r="C70" s="641"/>
      <c r="D70" s="641"/>
      <c r="E70" s="641"/>
      <c r="F70" s="641"/>
      <c r="G70" s="641"/>
      <c r="H70" s="641"/>
      <c r="I70" s="641"/>
      <c r="J70" s="641"/>
    </row>
    <row r="71" spans="1:10" x14ac:dyDescent="0.25">
      <c r="A71" s="629" t="s">
        <v>453</v>
      </c>
      <c r="B71" s="629"/>
      <c r="C71" s="629"/>
      <c r="D71" s="629"/>
      <c r="E71" s="629"/>
      <c r="F71" s="629"/>
      <c r="G71" s="629"/>
      <c r="H71" s="629"/>
      <c r="I71" s="629"/>
      <c r="J71" s="629"/>
    </row>
    <row r="72" spans="1:10" ht="13.8" thickBot="1" x14ac:dyDescent="0.3">
      <c r="A72" s="629" t="s">
        <v>454</v>
      </c>
      <c r="B72" s="629"/>
      <c r="C72" s="629"/>
      <c r="D72" s="629"/>
      <c r="E72" s="629"/>
      <c r="F72" s="629"/>
      <c r="G72" s="629"/>
      <c r="H72" s="629"/>
      <c r="I72" s="629"/>
      <c r="J72" s="629"/>
    </row>
    <row r="73" spans="1:10" ht="14.25" customHeight="1" x14ac:dyDescent="0.25">
      <c r="D73" s="295" t="s">
        <v>413</v>
      </c>
      <c r="E73" s="630" t="s">
        <v>0</v>
      </c>
      <c r="F73" s="631"/>
      <c r="G73" s="636" t="s">
        <v>442</v>
      </c>
      <c r="H73" s="636" t="s">
        <v>441</v>
      </c>
      <c r="I73" s="296" t="s">
        <v>436</v>
      </c>
      <c r="J73" s="636" t="s">
        <v>447</v>
      </c>
    </row>
    <row r="74" spans="1:10" ht="22.8" x14ac:dyDescent="0.25">
      <c r="D74" s="297" t="s">
        <v>414</v>
      </c>
      <c r="E74" s="632"/>
      <c r="F74" s="633"/>
      <c r="G74" s="637"/>
      <c r="H74" s="637"/>
      <c r="I74" s="298" t="s">
        <v>440</v>
      </c>
      <c r="J74" s="637"/>
    </row>
    <row r="75" spans="1:10" ht="44.25" customHeight="1" thickBot="1" x14ac:dyDescent="0.3">
      <c r="D75" s="299"/>
      <c r="E75" s="634"/>
      <c r="F75" s="635"/>
      <c r="G75" s="638"/>
      <c r="H75" s="638"/>
      <c r="I75" s="301" t="s">
        <v>438</v>
      </c>
      <c r="J75" s="638"/>
    </row>
    <row r="76" spans="1:10" ht="13.8" thickBot="1" x14ac:dyDescent="0.3">
      <c r="D76" s="275">
        <v>1</v>
      </c>
      <c r="E76" s="639">
        <v>2</v>
      </c>
      <c r="F76" s="640"/>
      <c r="G76" s="276">
        <v>3</v>
      </c>
      <c r="H76" s="276">
        <v>4</v>
      </c>
      <c r="I76" s="276">
        <v>5</v>
      </c>
      <c r="J76" s="276">
        <v>6</v>
      </c>
    </row>
    <row r="77" spans="1:10" ht="15" thickBot="1" x14ac:dyDescent="0.3">
      <c r="D77" s="268"/>
      <c r="E77" s="627"/>
      <c r="F77" s="628"/>
      <c r="G77" s="269"/>
      <c r="H77" s="269"/>
      <c r="I77" s="269"/>
      <c r="J77" s="270"/>
    </row>
    <row r="78" spans="1:10" ht="14.4" thickBot="1" x14ac:dyDescent="0.3">
      <c r="D78" s="268"/>
      <c r="E78" s="627"/>
      <c r="F78" s="628"/>
      <c r="G78" s="269"/>
      <c r="H78" s="269"/>
      <c r="I78" s="269"/>
      <c r="J78" s="267"/>
    </row>
    <row r="79" spans="1:10" ht="14.4" thickBot="1" x14ac:dyDescent="0.3">
      <c r="D79" s="271" t="s">
        <v>423</v>
      </c>
      <c r="E79" s="627" t="s">
        <v>424</v>
      </c>
      <c r="F79" s="628"/>
      <c r="G79" s="267" t="s">
        <v>425</v>
      </c>
      <c r="H79" s="267" t="s">
        <v>425</v>
      </c>
      <c r="I79" s="310">
        <f>'Раздел 1'!F58</f>
        <v>0</v>
      </c>
      <c r="J79" s="267" t="s">
        <v>425</v>
      </c>
    </row>
  </sheetData>
  <mergeCells count="55">
    <mergeCell ref="E78:F78"/>
    <mergeCell ref="E79:F79"/>
    <mergeCell ref="E65:F65"/>
    <mergeCell ref="E66:F66"/>
    <mergeCell ref="E67:F67"/>
    <mergeCell ref="E73:F75"/>
    <mergeCell ref="E76:F76"/>
    <mergeCell ref="E77:F77"/>
    <mergeCell ref="A10:J10"/>
    <mergeCell ref="E38:F40"/>
    <mergeCell ref="E41:F41"/>
    <mergeCell ref="E42:F42"/>
    <mergeCell ref="E43:F43"/>
    <mergeCell ref="E44:F44"/>
    <mergeCell ref="A36:J36"/>
    <mergeCell ref="E15:E17"/>
    <mergeCell ref="H15:H17"/>
    <mergeCell ref="E27:E28"/>
    <mergeCell ref="E57:F59"/>
    <mergeCell ref="A37:J37"/>
    <mergeCell ref="A35:J35"/>
    <mergeCell ref="A70:J70"/>
    <mergeCell ref="A71:J71"/>
    <mergeCell ref="A72:J72"/>
    <mergeCell ref="A46:J46"/>
    <mergeCell ref="A47:J47"/>
    <mergeCell ref="E60:F60"/>
    <mergeCell ref="E61:F61"/>
    <mergeCell ref="E62:F62"/>
    <mergeCell ref="J38:J40"/>
    <mergeCell ref="J57:J59"/>
    <mergeCell ref="J73:J75"/>
    <mergeCell ref="A23:J23"/>
    <mergeCell ref="A12:J12"/>
    <mergeCell ref="A13:J13"/>
    <mergeCell ref="A14:J14"/>
    <mergeCell ref="A24:J24"/>
    <mergeCell ref="A25:J25"/>
    <mergeCell ref="G27:G28"/>
    <mergeCell ref="J15:J17"/>
    <mergeCell ref="J27:J28"/>
    <mergeCell ref="H57:H59"/>
    <mergeCell ref="H73:H75"/>
    <mergeCell ref="G73:G75"/>
    <mergeCell ref="H38:H40"/>
    <mergeCell ref="E53:F53"/>
    <mergeCell ref="A55:J55"/>
    <mergeCell ref="A56:J56"/>
    <mergeCell ref="E63:F63"/>
    <mergeCell ref="E64:F64"/>
    <mergeCell ref="E48:F50"/>
    <mergeCell ref="H48:H50"/>
    <mergeCell ref="J48:J50"/>
    <mergeCell ref="E51:F51"/>
    <mergeCell ref="E52:F52"/>
  </mergeCells>
  <pageMargins left="0.7" right="0.7" top="0.75" bottom="0.75" header="0.3" footer="0.3"/>
  <pageSetup paperSize="9" scale="87"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Раздел 1</vt:lpstr>
      <vt:lpstr>Раздел 2</vt:lpstr>
      <vt:lpstr>обоснование расходов</vt:lpstr>
      <vt:lpstr>обоснование доходов</vt:lpstr>
      <vt:lpstr>'Раздел 1'!Заголовки_для_печати</vt:lpstr>
      <vt:lpstr>'Раздел 2'!Заголовки_для_печати</vt:lpstr>
      <vt:lpstr>'обоснование расходов'!Область_печати</vt:lpstr>
      <vt:lpstr>'Раздел 1'!Область_печати</vt:lpstr>
      <vt:lpstr>'Раздел 2'!Область_печати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Пользователь</cp:lastModifiedBy>
  <cp:lastPrinted>2022-01-19T10:51:08Z</cp:lastPrinted>
  <dcterms:created xsi:type="dcterms:W3CDTF">2011-01-11T10:25:48Z</dcterms:created>
  <dcterms:modified xsi:type="dcterms:W3CDTF">2022-01-22T07:32:44Z</dcterms:modified>
</cp:coreProperties>
</file>